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8240" windowHeight="12060" activeTab="0"/>
  </bookViews>
  <sheets>
    <sheet name="Sheet1" sheetId="1" r:id="rId1"/>
  </sheets>
  <definedNames/>
  <calcPr fullCalcOnLoad="1"/>
</workbook>
</file>

<file path=xl/sharedStrings.xml><?xml version="1.0" encoding="utf-8"?>
<sst xmlns="http://schemas.openxmlformats.org/spreadsheetml/2006/main" count="155" uniqueCount="113">
  <si>
    <t xml:space="preserve">Energy Information Administration   </t>
  </si>
  <si>
    <t xml:space="preserve">EPA GHG Reporting Registry   </t>
  </si>
  <si>
    <t>National Institute of Standards and Technology</t>
  </si>
  <si>
    <t>GOP cut from Obama level</t>
  </si>
  <si>
    <t>NIST TIP</t>
  </si>
  <si>
    <t>ARPA-E</t>
  </si>
  <si>
    <t xml:space="preserve">U.S. Forest Service Climate Change Science </t>
  </si>
  <si>
    <t>EPA other climate protection activities</t>
  </si>
  <si>
    <t>Energy Innovation Fund (rescission)</t>
  </si>
  <si>
    <t>EPA Energy Star</t>
  </si>
  <si>
    <t xml:space="preserve">DOE Office of Science </t>
  </si>
  <si>
    <t>NASA Earth Science</t>
  </si>
  <si>
    <t>USGS Global Change</t>
  </si>
  <si>
    <t>DOE Advanced Technology Vehicles Manufacturing Loan</t>
  </si>
  <si>
    <t>Science</t>
  </si>
  <si>
    <t>Information</t>
  </si>
  <si>
    <t>Total</t>
  </si>
  <si>
    <t>Reduce oil use</t>
  </si>
  <si>
    <t>% cut from Obama proposed 2011</t>
  </si>
  <si>
    <t>Notes</t>
  </si>
  <si>
    <t>All ARPA funding to date via ARRA</t>
  </si>
  <si>
    <t>Recent clean coal funding via ARRA</t>
  </si>
  <si>
    <t>% cut from 2010 Appropriation</t>
  </si>
  <si>
    <t>Department of Commerce Office of Budget</t>
  </si>
  <si>
    <t>Department of Interior FY 2011 budget in brief</t>
  </si>
  <si>
    <t>Department of Labor FY 2011 detailed budget document</t>
  </si>
  <si>
    <t>Department of Transportation FY 2011 budget highlights</t>
  </si>
  <si>
    <t>Environmental Protection Agency FY 2011 budget in brief</t>
  </si>
  <si>
    <t xml:space="preserve">HUD FY 2011 budget </t>
  </si>
  <si>
    <t>U.S. Geological Survey FY 2011 budget and related information</t>
  </si>
  <si>
    <t>NA</t>
  </si>
  <si>
    <t>% Difference GOP and Obama</t>
  </si>
  <si>
    <t xml:space="preserve">% Difference 2010 and Obama </t>
  </si>
  <si>
    <t>FY12 Obama Proposal</t>
  </si>
  <si>
    <t>rescission</t>
  </si>
  <si>
    <t xml:space="preserve">LIHEAP </t>
  </si>
  <si>
    <t>page 77</t>
  </si>
  <si>
    <t>Programs</t>
  </si>
  <si>
    <t>House GOP proposed FY 2011 change from FY 2010 (in $ millions)</t>
  </si>
  <si>
    <t>Obama proposed FY 2012 change from FY 2010 (in $ millions)</t>
  </si>
  <si>
    <t>Green jobs training</t>
  </si>
  <si>
    <t>FY12 Obama proposal</t>
  </si>
  <si>
    <t>Public health protection</t>
  </si>
  <si>
    <t xml:space="preserve">Note: Figures rounded to the nearest millions of dollars. </t>
  </si>
  <si>
    <t>Low-income energy assistance</t>
  </si>
  <si>
    <t>Percent difference between GOP and Obama</t>
  </si>
  <si>
    <t xml:space="preserve">Percent difference between 2010 and Obama </t>
  </si>
  <si>
    <t>Sources:</t>
  </si>
  <si>
    <t>Source</t>
  </si>
  <si>
    <t>P.209 L.18</t>
  </si>
  <si>
    <t>http://www.nytimes.com/cwire/2011/03/07/07climatewire-democrats-provide-a-counteroffer-to-gop-cuts-23869.html?pagewanted=2</t>
  </si>
  <si>
    <t>P.209 L.9</t>
  </si>
  <si>
    <t>P.210 L.1</t>
  </si>
  <si>
    <t>P.216 L.3</t>
  </si>
  <si>
    <t>P.208 L.5</t>
  </si>
  <si>
    <t>P.345 L.11</t>
  </si>
  <si>
    <t>p.213 L17</t>
  </si>
  <si>
    <t>P.215 L.7</t>
  </si>
  <si>
    <t>P.208 L.1</t>
  </si>
  <si>
    <t>P.210 L.9</t>
  </si>
  <si>
    <t>P.350 L.5</t>
  </si>
  <si>
    <t>Chart of Labor-HHS-Education Funding in the Senate Full-Year CR</t>
  </si>
  <si>
    <t>The Senate Democratic CR maintains funding at the FY10 enacted level of $700 million.</t>
  </si>
  <si>
    <t>No other transportation program cuts are mentioned, therefore it appears all other US DOT programs would be funded at their current FY'10 levels.</t>
  </si>
  <si>
    <t>http://appropriations.senate.gov/news.cfm?method=news.view&amp;id=9a2a96fa-05f1-482b-aaaa-64f038a28988</t>
  </si>
  <si>
    <t>FY11 House GOP Proposal HR 1</t>
  </si>
  <si>
    <t>FY12 Obama Budget Proposal</t>
  </si>
  <si>
    <t>FY11 Senate Proposal HR1</t>
  </si>
  <si>
    <t xml:space="preserve">Source - Senate </t>
  </si>
  <si>
    <t>FY11 Obama proposed level</t>
  </si>
  <si>
    <t>FY11 GOP Cut from 2010 Appropriation</t>
  </si>
  <si>
    <t>FY11 Continuing Resolution Reductions Difference from FY11 Request</t>
  </si>
  <si>
    <t>FY 2010 Proposed Level</t>
  </si>
  <si>
    <t>***</t>
  </si>
  <si>
    <t>Recession-18183</t>
  </si>
  <si>
    <t>*</t>
  </si>
  <si>
    <t>*All figures in millions of dollars</t>
  </si>
  <si>
    <t>FY10 appropriation enacted</t>
  </si>
  <si>
    <t>FY11 House GOP proposal H.R. 1 compared to FY10</t>
  </si>
  <si>
    <t xml:space="preserve">FY11 Senate Democratic proposal H.R. 1 compared to FY10 </t>
  </si>
  <si>
    <t>FY12 Obama budget proposal compared to FY10</t>
  </si>
  <si>
    <t>FY11 continuing resolution reduction from FY10</t>
  </si>
  <si>
    <t xml:space="preserve">Clean coal technology   </t>
  </si>
  <si>
    <t xml:space="preserve">Economic development assistance   </t>
  </si>
  <si>
    <t>Electricity delivery and energy reliabiliy</t>
  </si>
  <si>
    <t>Research, development, and innovation</t>
  </si>
  <si>
    <t>Clean energy infrastructure</t>
  </si>
  <si>
    <t>Green jobs innovation fund</t>
  </si>
  <si>
    <t>Energy efficiency and renewable energy</t>
  </si>
  <si>
    <r>
      <rPr>
        <b/>
        <sz val="10"/>
        <rFont val="Arial"/>
        <family val="2"/>
      </rPr>
      <t>***</t>
    </r>
    <r>
      <rPr>
        <sz val="10"/>
        <rFont val="Arial"/>
        <family val="2"/>
      </rPr>
      <t>We could not identify specific line item reductions for these programs in the final CR. These are estimates based on the overall reduction in appropriations for the agency that oversees this program.</t>
    </r>
  </si>
  <si>
    <r>
      <rPr>
        <b/>
        <sz val="10"/>
        <rFont val="Arial"/>
        <family val="2"/>
      </rPr>
      <t>*</t>
    </r>
    <r>
      <rPr>
        <sz val="10"/>
        <rFont val="Arial"/>
        <family val="2"/>
      </rPr>
      <t>Credit subsidy loan numbers</t>
    </r>
  </si>
  <si>
    <t>EPA state and local air quality management</t>
  </si>
  <si>
    <t>EPA climate change grants to local governments</t>
  </si>
  <si>
    <t>EPA enforcement and compliance</t>
  </si>
  <si>
    <t>EPA human health and ecosystems</t>
  </si>
  <si>
    <t>EPA air toxics and quality</t>
  </si>
  <si>
    <t>EPA Greenhouse Gas New Source Performance Standards, or NSPS</t>
  </si>
  <si>
    <t>Energy efficiency grants (rescission)</t>
  </si>
  <si>
    <t>Commodity Futures Trading Commission, or CFTC</t>
  </si>
  <si>
    <t xml:space="preserve">Funding for cost of DOE loan guarantees </t>
  </si>
  <si>
    <t>HUD Energy Innovation Fund</t>
  </si>
  <si>
    <t>Weatherization Assistance Program, or WAP</t>
  </si>
  <si>
    <t>EPA Research Global Change</t>
  </si>
  <si>
    <t>FRA, Amtrak, capital grants</t>
  </si>
  <si>
    <t>FRA, high speed rail, intercity passenger rail grants</t>
  </si>
  <si>
    <t>WMATA (Washington Metro) grants</t>
  </si>
  <si>
    <t>High speed rail and intercity passenger rail grants from FY 2010 (rescission)</t>
  </si>
  <si>
    <t>EPA climate protection program (automotive technologies)</t>
  </si>
  <si>
    <t>Department of Energy FY 2011 budget request</t>
  </si>
  <si>
    <t>Senate Appropriations Committee budget proposal (March 4, 2011)</t>
  </si>
  <si>
    <t>House Republican Appropriations Committee budget proposal (February 11, 2011)</t>
  </si>
  <si>
    <t>House Republican Appropriations Committee Final Program Cuts (April 12, 2011). Note: Reductions do not include the 0.2 percent across-the-board cut to nondefense accounts.</t>
  </si>
  <si>
    <t xml:space="preserve">Total difference from FY 2010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</si>
</sst>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_);_(* \(#,##0.0\);_(* &quot;-&quot;??_);_(@_)"/>
    <numFmt numFmtId="170" formatCode="_(* #,##0_);_(* \(#,##0\);_(* &quot;-&quot;??_);_(@_)"/>
    <numFmt numFmtId="171" formatCode="[$-409]h:mm:ss\ AM/PM"/>
    <numFmt numFmtId="172" formatCode="0.0"/>
  </numFmts>
  <fonts count="33">
    <font>
      <sz val="10"/>
      <name val="Arial"/>
      <family val="0"/>
    </font>
    <font>
      <sz val="8"/>
      <name val="Arial"/>
      <family val="2"/>
    </font>
    <font>
      <i/>
      <sz val="10"/>
      <name val="Arial"/>
      <family val="2"/>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u val="single"/>
      <sz val="10"/>
      <color indexed="12"/>
      <name val="Arial"/>
      <family val="2"/>
    </font>
    <font>
      <sz val="9"/>
      <color indexed="8"/>
      <name val="Arial"/>
      <family val="2"/>
    </font>
    <font>
      <sz val="10"/>
      <color indexed="10"/>
      <name val="Arial"/>
      <family val="2"/>
    </font>
    <font>
      <i/>
      <sz val="11.5"/>
      <color indexed="10"/>
      <name val="Arial"/>
      <family val="2"/>
    </font>
    <font>
      <i/>
      <sz val="10"/>
      <color indexed="10"/>
      <name val="Arial"/>
      <family val="2"/>
    </font>
    <font>
      <b/>
      <sz val="10"/>
      <color indexed="10"/>
      <name val="Arial"/>
      <family val="2"/>
    </font>
    <font>
      <b/>
      <i/>
      <sz val="10"/>
      <color indexed="10"/>
      <name val="Arial"/>
      <family val="2"/>
    </font>
    <font>
      <b/>
      <i/>
      <u val="single"/>
      <sz val="10"/>
      <color indexed="12"/>
      <name val="Arial"/>
      <family val="2"/>
    </font>
    <font>
      <b/>
      <i/>
      <sz val="11.5"/>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38">
    <xf numFmtId="0" fontId="0" fillId="0" borderId="0" xfId="0" applyAlignment="1">
      <alignment/>
    </xf>
    <xf numFmtId="0" fontId="0" fillId="0" borderId="0" xfId="0" applyAlignment="1">
      <alignment wrapText="1"/>
    </xf>
    <xf numFmtId="170" fontId="0" fillId="0" borderId="0" xfId="42" applyNumberFormat="1" applyFont="1" applyAlignment="1">
      <alignment/>
    </xf>
    <xf numFmtId="0" fontId="2" fillId="0" borderId="0" xfId="0" applyFont="1" applyAlignment="1">
      <alignment/>
    </xf>
    <xf numFmtId="0" fontId="0" fillId="0" borderId="10" xfId="0" applyBorder="1" applyAlignment="1">
      <alignment/>
    </xf>
    <xf numFmtId="0" fontId="2" fillId="0" borderId="10" xfId="0" applyFont="1" applyBorder="1" applyAlignment="1">
      <alignment/>
    </xf>
    <xf numFmtId="170" fontId="0" fillId="0" borderId="10" xfId="0" applyNumberFormat="1" applyBorder="1" applyAlignment="1">
      <alignment/>
    </xf>
    <xf numFmtId="3" fontId="0" fillId="0" borderId="0" xfId="0" applyNumberFormat="1" applyAlignment="1">
      <alignment/>
    </xf>
    <xf numFmtId="0" fontId="0" fillId="0" borderId="0" xfId="0" applyBorder="1" applyAlignment="1">
      <alignment wrapText="1"/>
    </xf>
    <xf numFmtId="0" fontId="0" fillId="0" borderId="0" xfId="0" applyFont="1" applyBorder="1" applyAlignment="1">
      <alignment wrapText="1"/>
    </xf>
    <xf numFmtId="170" fontId="0" fillId="0" borderId="0" xfId="42" applyNumberFormat="1" applyFont="1" applyBorder="1" applyAlignment="1">
      <alignment wrapText="1"/>
    </xf>
    <xf numFmtId="170" fontId="0" fillId="0" borderId="0" xfId="42" applyNumberFormat="1" applyFont="1" applyFill="1" applyBorder="1" applyAlignment="1">
      <alignment wrapText="1"/>
    </xf>
    <xf numFmtId="0" fontId="0" fillId="0" borderId="0" xfId="0" applyBorder="1" applyAlignment="1">
      <alignment/>
    </xf>
    <xf numFmtId="170" fontId="0" fillId="0" borderId="0" xfId="42" applyNumberFormat="1" applyFont="1" applyBorder="1" applyAlignment="1">
      <alignment/>
    </xf>
    <xf numFmtId="9" fontId="0" fillId="0" borderId="0" xfId="59" applyFont="1" applyBorder="1" applyAlignment="1">
      <alignment/>
    </xf>
    <xf numFmtId="9" fontId="0" fillId="0" borderId="0" xfId="0" applyNumberFormat="1" applyBorder="1" applyAlignment="1">
      <alignment/>
    </xf>
    <xf numFmtId="170" fontId="0" fillId="0" borderId="0" xfId="0" applyNumberFormat="1" applyBorder="1" applyAlignment="1">
      <alignment/>
    </xf>
    <xf numFmtId="3" fontId="0" fillId="0" borderId="0" xfId="0" applyNumberFormat="1" applyBorder="1" applyAlignment="1">
      <alignment/>
    </xf>
    <xf numFmtId="170" fontId="0" fillId="0" borderId="0" xfId="42" applyNumberFormat="1" applyFont="1" applyBorder="1" applyAlignment="1">
      <alignment wrapText="1"/>
    </xf>
    <xf numFmtId="0" fontId="2" fillId="0" borderId="0" xfId="0" applyFont="1" applyBorder="1" applyAlignment="1">
      <alignment/>
    </xf>
    <xf numFmtId="170" fontId="2" fillId="0" borderId="0" xfId="42" applyNumberFormat="1" applyFont="1" applyBorder="1" applyAlignment="1">
      <alignment/>
    </xf>
    <xf numFmtId="170" fontId="2" fillId="0" borderId="0" xfId="0" applyNumberFormat="1" applyFont="1" applyBorder="1" applyAlignment="1">
      <alignment/>
    </xf>
    <xf numFmtId="9" fontId="2" fillId="0" borderId="0" xfId="59" applyFont="1" applyBorder="1" applyAlignment="1">
      <alignment/>
    </xf>
    <xf numFmtId="0" fontId="2" fillId="0" borderId="0" xfId="0" applyFont="1" applyBorder="1" applyAlignment="1">
      <alignment wrapText="1"/>
    </xf>
    <xf numFmtId="3" fontId="2" fillId="0" borderId="0" xfId="0" applyNumberFormat="1" applyFont="1" applyBorder="1" applyAlignment="1">
      <alignment/>
    </xf>
    <xf numFmtId="0" fontId="0" fillId="0" borderId="0" xfId="0" applyFont="1" applyBorder="1" applyAlignment="1">
      <alignment/>
    </xf>
    <xf numFmtId="0" fontId="0" fillId="0" borderId="0" xfId="0" applyFont="1" applyFill="1" applyBorder="1" applyAlignment="1">
      <alignment/>
    </xf>
    <xf numFmtId="168" fontId="0" fillId="0" borderId="0" xfId="0" applyNumberFormat="1" applyBorder="1" applyAlignment="1">
      <alignment/>
    </xf>
    <xf numFmtId="9" fontId="0" fillId="0" borderId="0" xfId="59" applyFont="1" applyBorder="1" applyAlignment="1">
      <alignment/>
    </xf>
    <xf numFmtId="170" fontId="2" fillId="0" borderId="0" xfId="42" applyNumberFormat="1" applyFont="1" applyFill="1" applyBorder="1" applyAlignment="1">
      <alignment wrapText="1"/>
    </xf>
    <xf numFmtId="170" fontId="0" fillId="0" borderId="0" xfId="42" applyNumberFormat="1" applyFont="1" applyBorder="1" applyAlignment="1">
      <alignment wrapText="1"/>
    </xf>
    <xf numFmtId="10" fontId="2" fillId="0" borderId="0" xfId="59" applyNumberFormat="1" applyFont="1" applyBorder="1" applyAlignment="1">
      <alignment/>
    </xf>
    <xf numFmtId="0" fontId="3" fillId="0" borderId="0" xfId="0" applyFont="1" applyBorder="1" applyAlignment="1">
      <alignment/>
    </xf>
    <xf numFmtId="0" fontId="2" fillId="0" borderId="11" xfId="0" applyFont="1" applyBorder="1" applyAlignment="1">
      <alignment wrapText="1"/>
    </xf>
    <xf numFmtId="0" fontId="0" fillId="0" borderId="11" xfId="0" applyBorder="1" applyAlignment="1">
      <alignment/>
    </xf>
    <xf numFmtId="0" fontId="2" fillId="0" borderId="11" xfId="0" applyFont="1" applyBorder="1" applyAlignment="1">
      <alignment/>
    </xf>
    <xf numFmtId="170" fontId="0" fillId="0" borderId="11" xfId="0" applyNumberFormat="1" applyBorder="1" applyAlignment="1">
      <alignment/>
    </xf>
    <xf numFmtId="3" fontId="2" fillId="0" borderId="11" xfId="0" applyNumberFormat="1" applyFont="1" applyBorder="1" applyAlignment="1">
      <alignment/>
    </xf>
    <xf numFmtId="0" fontId="0" fillId="0" borderId="12" xfId="0" applyBorder="1" applyAlignment="1">
      <alignment wrapText="1"/>
    </xf>
    <xf numFmtId="170" fontId="0" fillId="0" borderId="12" xfId="42" applyNumberFormat="1" applyFont="1" applyBorder="1" applyAlignment="1">
      <alignment/>
    </xf>
    <xf numFmtId="9" fontId="0" fillId="0" borderId="12" xfId="59" applyFont="1" applyBorder="1" applyAlignment="1">
      <alignment/>
    </xf>
    <xf numFmtId="9" fontId="0" fillId="0" borderId="12" xfId="0" applyNumberFormat="1" applyBorder="1" applyAlignment="1">
      <alignment/>
    </xf>
    <xf numFmtId="170" fontId="0" fillId="0" borderId="12" xfId="0" applyNumberFormat="1" applyBorder="1" applyAlignment="1">
      <alignment/>
    </xf>
    <xf numFmtId="3" fontId="0" fillId="0" borderId="12" xfId="0" applyNumberFormat="1" applyBorder="1" applyAlignment="1">
      <alignment/>
    </xf>
    <xf numFmtId="0" fontId="0" fillId="0" borderId="12" xfId="0" applyBorder="1" applyAlignment="1">
      <alignment/>
    </xf>
    <xf numFmtId="3" fontId="2" fillId="0" borderId="10" xfId="0" applyNumberFormat="1" applyFont="1" applyBorder="1" applyAlignment="1">
      <alignment/>
    </xf>
    <xf numFmtId="0" fontId="0" fillId="0" borderId="11" xfId="0" applyBorder="1" applyAlignment="1">
      <alignment wrapText="1"/>
    </xf>
    <xf numFmtId="170" fontId="2" fillId="0" borderId="11" xfId="42" applyNumberFormat="1" applyFont="1" applyBorder="1" applyAlignment="1">
      <alignment/>
    </xf>
    <xf numFmtId="170" fontId="2" fillId="0" borderId="11" xfId="0" applyNumberFormat="1" applyFont="1" applyBorder="1" applyAlignment="1">
      <alignment/>
    </xf>
    <xf numFmtId="9" fontId="2" fillId="0" borderId="11" xfId="59" applyFont="1" applyBorder="1" applyAlignment="1">
      <alignment/>
    </xf>
    <xf numFmtId="170" fontId="0" fillId="0" borderId="12" xfId="42" applyNumberFormat="1" applyFont="1" applyBorder="1" applyAlignment="1">
      <alignment wrapText="1"/>
    </xf>
    <xf numFmtId="170" fontId="2" fillId="0" borderId="11" xfId="42" applyNumberFormat="1" applyFont="1" applyFill="1" applyBorder="1" applyAlignment="1">
      <alignment wrapText="1"/>
    </xf>
    <xf numFmtId="170" fontId="0" fillId="0" borderId="0" xfId="42" applyNumberFormat="1" applyFont="1" applyBorder="1" applyAlignment="1">
      <alignment/>
    </xf>
    <xf numFmtId="170" fontId="0" fillId="0" borderId="0" xfId="0" applyNumberFormat="1" applyFont="1" applyBorder="1" applyAlignment="1">
      <alignment/>
    </xf>
    <xf numFmtId="170" fontId="0" fillId="0" borderId="12" xfId="42" applyNumberFormat="1" applyFont="1" applyBorder="1" applyAlignment="1">
      <alignment wrapText="1"/>
    </xf>
    <xf numFmtId="170" fontId="0" fillId="21" borderId="0" xfId="0" applyNumberFormat="1" applyFill="1" applyBorder="1" applyAlignment="1">
      <alignment/>
    </xf>
    <xf numFmtId="170" fontId="0" fillId="21" borderId="11" xfId="0" applyNumberFormat="1" applyFill="1" applyBorder="1" applyAlignment="1">
      <alignment/>
    </xf>
    <xf numFmtId="0" fontId="2" fillId="21" borderId="0" xfId="0" applyFont="1" applyFill="1" applyBorder="1" applyAlignment="1">
      <alignment/>
    </xf>
    <xf numFmtId="170" fontId="0" fillId="21" borderId="12" xfId="0" applyNumberFormat="1" applyFill="1" applyBorder="1" applyAlignment="1">
      <alignment/>
    </xf>
    <xf numFmtId="170" fontId="0" fillId="21" borderId="0" xfId="0" applyNumberFormat="1" applyFont="1" applyFill="1" applyBorder="1" applyAlignment="1">
      <alignment/>
    </xf>
    <xf numFmtId="0" fontId="0" fillId="21" borderId="0" xfId="0" applyFill="1" applyAlignment="1">
      <alignment/>
    </xf>
    <xf numFmtId="3" fontId="0" fillId="21" borderId="0" xfId="0" applyNumberFormat="1" applyFill="1" applyBorder="1" applyAlignment="1">
      <alignment/>
    </xf>
    <xf numFmtId="170" fontId="2" fillId="21" borderId="11" xfId="42" applyNumberFormat="1" applyFont="1" applyFill="1" applyBorder="1" applyAlignment="1">
      <alignment/>
    </xf>
    <xf numFmtId="3" fontId="2" fillId="21" borderId="0" xfId="0" applyNumberFormat="1" applyFont="1" applyFill="1" applyBorder="1" applyAlignment="1">
      <alignment/>
    </xf>
    <xf numFmtId="3" fontId="0" fillId="21" borderId="12" xfId="0" applyNumberFormat="1" applyFill="1" applyBorder="1" applyAlignment="1">
      <alignment/>
    </xf>
    <xf numFmtId="170" fontId="0" fillId="21" borderId="0" xfId="42" applyNumberFormat="1" applyFont="1" applyFill="1" applyBorder="1" applyAlignment="1">
      <alignment/>
    </xf>
    <xf numFmtId="170" fontId="0" fillId="21" borderId="0" xfId="42" applyNumberFormat="1" applyFont="1" applyFill="1" applyBorder="1" applyAlignment="1">
      <alignment wrapText="1"/>
    </xf>
    <xf numFmtId="3" fontId="0" fillId="21" borderId="12" xfId="0" applyNumberFormat="1" applyFill="1" applyBorder="1" applyAlignment="1">
      <alignment horizontal="right"/>
    </xf>
    <xf numFmtId="3" fontId="0" fillId="21" borderId="0" xfId="0" applyNumberFormat="1" applyFont="1" applyFill="1" applyBorder="1" applyAlignment="1">
      <alignment/>
    </xf>
    <xf numFmtId="170" fontId="0" fillId="21" borderId="12" xfId="42" applyNumberFormat="1" applyFont="1" applyFill="1" applyBorder="1" applyAlignment="1">
      <alignment wrapText="1"/>
    </xf>
    <xf numFmtId="3" fontId="0" fillId="21" borderId="0" xfId="0" applyNumberFormat="1" applyFill="1" applyAlignment="1">
      <alignment/>
    </xf>
    <xf numFmtId="9" fontId="2" fillId="0" borderId="0" xfId="0" applyNumberFormat="1" applyFont="1" applyBorder="1" applyAlignment="1">
      <alignment/>
    </xf>
    <xf numFmtId="9" fontId="0" fillId="21" borderId="0" xfId="59" applyFont="1" applyFill="1" applyBorder="1" applyAlignment="1">
      <alignment/>
    </xf>
    <xf numFmtId="9" fontId="2" fillId="21" borderId="11" xfId="42" applyNumberFormat="1" applyFont="1" applyFill="1" applyBorder="1" applyAlignment="1">
      <alignment/>
    </xf>
    <xf numFmtId="9" fontId="0" fillId="21" borderId="12" xfId="59" applyFont="1" applyFill="1" applyBorder="1" applyAlignment="1">
      <alignment/>
    </xf>
    <xf numFmtId="9" fontId="0" fillId="21" borderId="0" xfId="59" applyFont="1" applyFill="1" applyBorder="1" applyAlignment="1">
      <alignment/>
    </xf>
    <xf numFmtId="0" fontId="0" fillId="21" borderId="0" xfId="0" applyFont="1" applyFill="1" applyBorder="1" applyAlignment="1">
      <alignment horizontal="right"/>
    </xf>
    <xf numFmtId="0" fontId="0" fillId="21" borderId="0" xfId="0" applyFill="1" applyBorder="1" applyAlignment="1">
      <alignment/>
    </xf>
    <xf numFmtId="170" fontId="0" fillId="21" borderId="0" xfId="42" applyNumberFormat="1" applyFont="1" applyFill="1" applyBorder="1" applyAlignment="1">
      <alignment wrapText="1"/>
    </xf>
    <xf numFmtId="3" fontId="0" fillId="0" borderId="11" xfId="0" applyNumberFormat="1" applyBorder="1" applyAlignment="1">
      <alignment/>
    </xf>
    <xf numFmtId="3" fontId="2" fillId="0" borderId="12" xfId="0" applyNumberFormat="1" applyFont="1" applyBorder="1" applyAlignment="1">
      <alignment/>
    </xf>
    <xf numFmtId="170" fontId="2" fillId="0" borderId="12" xfId="0" applyNumberFormat="1" applyFont="1" applyBorder="1" applyAlignment="1">
      <alignment/>
    </xf>
    <xf numFmtId="0" fontId="2" fillId="0" borderId="12" xfId="0" applyFont="1" applyBorder="1" applyAlignment="1">
      <alignment/>
    </xf>
    <xf numFmtId="3" fontId="0" fillId="0" borderId="10" xfId="0" applyNumberFormat="1" applyBorder="1" applyAlignment="1">
      <alignment/>
    </xf>
    <xf numFmtId="0" fontId="0" fillId="0" borderId="12" xfId="0" applyFont="1" applyBorder="1" applyAlignment="1">
      <alignment/>
    </xf>
    <xf numFmtId="3" fontId="0" fillId="0" borderId="0" xfId="0" applyNumberFormat="1" applyFont="1" applyBorder="1" applyAlignment="1">
      <alignment/>
    </xf>
    <xf numFmtId="0" fontId="2" fillId="0" borderId="0" xfId="0" applyFont="1" applyFill="1" applyBorder="1" applyAlignment="1">
      <alignment/>
    </xf>
    <xf numFmtId="0" fontId="2" fillId="24" borderId="13" xfId="0" applyFont="1" applyFill="1" applyBorder="1" applyAlignment="1">
      <alignment/>
    </xf>
    <xf numFmtId="0" fontId="2" fillId="0" borderId="13" xfId="0" applyFont="1" applyFill="1" applyBorder="1" applyAlignment="1">
      <alignment/>
    </xf>
    <xf numFmtId="0" fontId="24" fillId="0" borderId="13" xfId="53" applyFont="1" applyFill="1" applyBorder="1" applyAlignment="1" applyProtection="1">
      <alignment/>
      <protection/>
    </xf>
    <xf numFmtId="0" fontId="4" fillId="0" borderId="13" xfId="0" applyFont="1" applyFill="1" applyBorder="1" applyAlignment="1">
      <alignment/>
    </xf>
    <xf numFmtId="3" fontId="0" fillId="0" borderId="0" xfId="0" applyNumberFormat="1" applyBorder="1" applyAlignment="1">
      <alignment horizontal="right"/>
    </xf>
    <xf numFmtId="0" fontId="16" fillId="0" borderId="0" xfId="53" applyAlignment="1" applyProtection="1">
      <alignment/>
      <protection/>
    </xf>
    <xf numFmtId="0" fontId="16" fillId="0" borderId="13" xfId="53" applyFill="1" applyBorder="1" applyAlignment="1" applyProtection="1">
      <alignment/>
      <protection/>
    </xf>
    <xf numFmtId="0" fontId="2" fillId="20" borderId="13" xfId="0" applyFont="1" applyFill="1" applyBorder="1" applyAlignment="1">
      <alignment/>
    </xf>
    <xf numFmtId="0" fontId="2" fillId="20" borderId="0" xfId="0" applyFont="1" applyFill="1" applyBorder="1" applyAlignment="1">
      <alignment/>
    </xf>
    <xf numFmtId="3" fontId="25" fillId="0" borderId="0" xfId="0" applyNumberFormat="1" applyFont="1" applyBorder="1" applyAlignment="1">
      <alignment/>
    </xf>
    <xf numFmtId="9" fontId="2" fillId="0" borderId="11" xfId="0" applyNumberFormat="1" applyFont="1" applyBorder="1" applyAlignment="1">
      <alignment/>
    </xf>
    <xf numFmtId="170" fontId="0" fillId="0" borderId="12" xfId="42" applyNumberFormat="1" applyFont="1" applyFill="1" applyBorder="1" applyAlignment="1">
      <alignment wrapText="1"/>
    </xf>
    <xf numFmtId="3" fontId="16" fillId="0" borderId="0" xfId="53" applyNumberFormat="1" applyBorder="1" applyAlignment="1" applyProtection="1">
      <alignment/>
      <protection/>
    </xf>
    <xf numFmtId="3" fontId="0" fillId="0" borderId="14" xfId="0" applyNumberFormat="1" applyBorder="1" applyAlignment="1">
      <alignment/>
    </xf>
    <xf numFmtId="3" fontId="0" fillId="0" borderId="15" xfId="0" applyNumberFormat="1" applyBorder="1" applyAlignment="1">
      <alignment/>
    </xf>
    <xf numFmtId="3" fontId="0" fillId="0" borderId="16" xfId="0" applyNumberFormat="1" applyBorder="1" applyAlignment="1">
      <alignment/>
    </xf>
    <xf numFmtId="170" fontId="2" fillId="21" borderId="11" xfId="0" applyNumberFormat="1" applyFont="1" applyFill="1" applyBorder="1" applyAlignment="1">
      <alignment/>
    </xf>
    <xf numFmtId="170" fontId="0" fillId="0" borderId="11" xfId="42" applyNumberFormat="1" applyFont="1" applyBorder="1" applyAlignment="1">
      <alignment wrapText="1"/>
    </xf>
    <xf numFmtId="170" fontId="0" fillId="0" borderId="11" xfId="42" applyNumberFormat="1" applyFont="1" applyBorder="1" applyAlignment="1">
      <alignment/>
    </xf>
    <xf numFmtId="3" fontId="0" fillId="21" borderId="11" xfId="0" applyNumberFormat="1" applyFill="1" applyBorder="1" applyAlignment="1">
      <alignment/>
    </xf>
    <xf numFmtId="0" fontId="0" fillId="21" borderId="11" xfId="0" applyFill="1" applyBorder="1" applyAlignment="1">
      <alignment/>
    </xf>
    <xf numFmtId="3" fontId="0" fillId="0" borderId="17" xfId="0" applyNumberFormat="1" applyBorder="1" applyAlignment="1">
      <alignment/>
    </xf>
    <xf numFmtId="170" fontId="0" fillId="25" borderId="0" xfId="0" applyNumberFormat="1" applyFill="1" applyBorder="1" applyAlignment="1">
      <alignment/>
    </xf>
    <xf numFmtId="3" fontId="0" fillId="25" borderId="0" xfId="0" applyNumberFormat="1" applyFill="1" applyBorder="1" applyAlignment="1">
      <alignment/>
    </xf>
    <xf numFmtId="9" fontId="0" fillId="25" borderId="0" xfId="59" applyFont="1" applyFill="1" applyBorder="1" applyAlignment="1">
      <alignment/>
    </xf>
    <xf numFmtId="0" fontId="0" fillId="25" borderId="0" xfId="0" applyFill="1" applyBorder="1" applyAlignment="1">
      <alignment/>
    </xf>
    <xf numFmtId="9" fontId="0" fillId="25" borderId="0" xfId="0" applyNumberFormat="1" applyFill="1" applyBorder="1" applyAlignment="1">
      <alignment/>
    </xf>
    <xf numFmtId="170" fontId="0" fillId="0" borderId="0" xfId="0" applyNumberFormat="1" applyAlignment="1">
      <alignment/>
    </xf>
    <xf numFmtId="170" fontId="0" fillId="0" borderId="15" xfId="0" applyNumberFormat="1" applyBorder="1" applyAlignment="1">
      <alignment/>
    </xf>
    <xf numFmtId="0" fontId="2" fillId="0" borderId="14" xfId="0" applyFont="1" applyBorder="1" applyAlignment="1">
      <alignment/>
    </xf>
    <xf numFmtId="0" fontId="2" fillId="0" borderId="16" xfId="0" applyFont="1" applyBorder="1" applyAlignment="1">
      <alignment/>
    </xf>
    <xf numFmtId="0" fontId="0" fillId="0" borderId="16" xfId="0" applyBorder="1" applyAlignment="1">
      <alignment/>
    </xf>
    <xf numFmtId="0" fontId="2" fillId="0" borderId="17" xfId="0" applyFont="1" applyBorder="1" applyAlignment="1">
      <alignment/>
    </xf>
    <xf numFmtId="0" fontId="0" fillId="0" borderId="14" xfId="0" applyBorder="1" applyAlignment="1">
      <alignment/>
    </xf>
    <xf numFmtId="170" fontId="2" fillId="21" borderId="10" xfId="0" applyNumberFormat="1" applyFont="1" applyFill="1" applyBorder="1" applyAlignment="1">
      <alignment/>
    </xf>
    <xf numFmtId="0" fontId="2" fillId="26" borderId="18" xfId="0" applyFont="1" applyFill="1" applyBorder="1" applyAlignment="1">
      <alignment/>
    </xf>
    <xf numFmtId="0" fontId="2" fillId="27" borderId="18" xfId="0" applyFont="1" applyFill="1" applyBorder="1" applyAlignment="1">
      <alignment/>
    </xf>
    <xf numFmtId="0" fontId="24" fillId="27" borderId="18" xfId="53" applyFont="1" applyFill="1" applyBorder="1" applyAlignment="1" applyProtection="1">
      <alignment/>
      <protection/>
    </xf>
    <xf numFmtId="0" fontId="2" fillId="27" borderId="15" xfId="0" applyFont="1" applyFill="1" applyBorder="1" applyAlignment="1">
      <alignment/>
    </xf>
    <xf numFmtId="0" fontId="16" fillId="27" borderId="18" xfId="53" applyFill="1" applyBorder="1" applyAlignment="1" applyProtection="1">
      <alignment/>
      <protection/>
    </xf>
    <xf numFmtId="0" fontId="16" fillId="27" borderId="15" xfId="53" applyFill="1" applyBorder="1" applyAlignment="1" applyProtection="1">
      <alignment/>
      <protection/>
    </xf>
    <xf numFmtId="0" fontId="2" fillId="27" borderId="19" xfId="0" applyFont="1" applyFill="1" applyBorder="1" applyAlignment="1">
      <alignment/>
    </xf>
    <xf numFmtId="0" fontId="4" fillId="27" borderId="18" xfId="0" applyFont="1" applyFill="1" applyBorder="1" applyAlignment="1">
      <alignment/>
    </xf>
    <xf numFmtId="170" fontId="0" fillId="0" borderId="12" xfId="0" applyNumberFormat="1" applyFont="1" applyBorder="1" applyAlignment="1">
      <alignment/>
    </xf>
    <xf numFmtId="3" fontId="0" fillId="25" borderId="0" xfId="0" applyNumberFormat="1" applyFont="1" applyFill="1" applyBorder="1" applyAlignment="1">
      <alignment/>
    </xf>
    <xf numFmtId="0" fontId="3" fillId="0" borderId="0" xfId="0" applyFont="1" applyBorder="1" applyAlignment="1">
      <alignment horizontal="center" vertical="center" wrapText="1"/>
    </xf>
    <xf numFmtId="170" fontId="3" fillId="0" borderId="0" xfId="42" applyNumberFormat="1" applyFont="1" applyBorder="1" applyAlignment="1">
      <alignment wrapText="1"/>
    </xf>
    <xf numFmtId="0" fontId="3" fillId="0" borderId="0" xfId="0" applyFont="1" applyBorder="1" applyAlignment="1">
      <alignment wrapText="1"/>
    </xf>
    <xf numFmtId="3" fontId="3" fillId="21" borderId="0" xfId="0" applyNumberFormat="1" applyFont="1" applyFill="1" applyBorder="1" applyAlignment="1">
      <alignment wrapText="1"/>
    </xf>
    <xf numFmtId="0" fontId="3" fillId="21" borderId="0" xfId="0" applyFont="1" applyFill="1" applyBorder="1" applyAlignment="1">
      <alignment wrapText="1"/>
    </xf>
    <xf numFmtId="3" fontId="3" fillId="0" borderId="0" xfId="0" applyNumberFormat="1" applyFont="1" applyBorder="1" applyAlignment="1">
      <alignment wrapText="1"/>
    </xf>
    <xf numFmtId="0" fontId="3" fillId="0" borderId="0" xfId="0" applyFont="1" applyBorder="1" applyAlignment="1">
      <alignment horizontal="center" vertical="top" wrapText="1"/>
    </xf>
    <xf numFmtId="0" fontId="4" fillId="27" borderId="18" xfId="0" applyFont="1" applyFill="1" applyBorder="1" applyAlignment="1">
      <alignment wrapText="1"/>
    </xf>
    <xf numFmtId="0" fontId="4" fillId="0" borderId="13" xfId="0" applyFont="1" applyFill="1" applyBorder="1" applyAlignment="1">
      <alignment wrapText="1"/>
    </xf>
    <xf numFmtId="0" fontId="4" fillId="0" borderId="11" xfId="0" applyFont="1" applyBorder="1" applyAlignment="1">
      <alignment wrapText="1"/>
    </xf>
    <xf numFmtId="0" fontId="4" fillId="0" borderId="0" xfId="0" applyFont="1" applyBorder="1" applyAlignment="1">
      <alignment wrapText="1"/>
    </xf>
    <xf numFmtId="0" fontId="3" fillId="0" borderId="12" xfId="0" applyFont="1" applyBorder="1" applyAlignment="1">
      <alignment wrapText="1"/>
    </xf>
    <xf numFmtId="0" fontId="4" fillId="0" borderId="10" xfId="0" applyFont="1" applyBorder="1" applyAlignment="1">
      <alignment wrapText="1"/>
    </xf>
    <xf numFmtId="0" fontId="3" fillId="0" borderId="11" xfId="0" applyFont="1" applyBorder="1" applyAlignment="1">
      <alignment wrapText="1"/>
    </xf>
    <xf numFmtId="0" fontId="3" fillId="0" borderId="0" xfId="0" applyFont="1" applyAlignment="1">
      <alignment wrapText="1"/>
    </xf>
    <xf numFmtId="0" fontId="3" fillId="0" borderId="15" xfId="0" applyFont="1" applyFill="1" applyBorder="1" applyAlignment="1">
      <alignment wrapText="1"/>
    </xf>
    <xf numFmtId="170" fontId="0" fillId="0" borderId="10" xfId="42" applyNumberFormat="1" applyFont="1" applyBorder="1" applyAlignment="1">
      <alignment/>
    </xf>
    <xf numFmtId="0" fontId="2" fillId="27" borderId="0" xfId="0" applyFont="1" applyFill="1" applyBorder="1" applyAlignment="1">
      <alignment/>
    </xf>
    <xf numFmtId="0" fontId="3" fillId="0" borderId="0" xfId="0" applyFont="1" applyFill="1" applyBorder="1" applyAlignment="1">
      <alignment wrapText="1"/>
    </xf>
    <xf numFmtId="0" fontId="0" fillId="27" borderId="0" xfId="0" applyFill="1" applyBorder="1" applyAlignment="1">
      <alignment/>
    </xf>
    <xf numFmtId="170" fontId="0" fillId="0" borderId="15" xfId="42" applyNumberFormat="1" applyFont="1" applyBorder="1" applyAlignment="1">
      <alignment wrapText="1"/>
    </xf>
    <xf numFmtId="0" fontId="0" fillId="0" borderId="0" xfId="0" applyFill="1" applyBorder="1" applyAlignment="1">
      <alignment/>
    </xf>
    <xf numFmtId="0" fontId="0" fillId="0" borderId="0" xfId="0" applyFont="1" applyAlignment="1">
      <alignment/>
    </xf>
    <xf numFmtId="0" fontId="0" fillId="17" borderId="0" xfId="0" applyFill="1" applyBorder="1" applyAlignment="1">
      <alignment/>
    </xf>
    <xf numFmtId="0" fontId="16" fillId="0" borderId="0" xfId="53" applyAlignment="1" applyProtection="1">
      <alignment wrapText="1"/>
      <protection/>
    </xf>
    <xf numFmtId="0" fontId="26" fillId="0" borderId="0" xfId="0" applyFont="1" applyAlignment="1">
      <alignment/>
    </xf>
    <xf numFmtId="0" fontId="0" fillId="17" borderId="0" xfId="0" applyFont="1" applyFill="1" applyBorder="1" applyAlignment="1">
      <alignment/>
    </xf>
    <xf numFmtId="0" fontId="0" fillId="0" borderId="15" xfId="0" applyBorder="1" applyAlignment="1">
      <alignment/>
    </xf>
    <xf numFmtId="0" fontId="0" fillId="27" borderId="15" xfId="0" applyFill="1" applyBorder="1" applyAlignment="1">
      <alignment/>
    </xf>
    <xf numFmtId="0" fontId="27" fillId="0" borderId="0" xfId="0" applyFont="1" applyAlignment="1">
      <alignment horizontal="left" vertical="center" indent="4"/>
    </xf>
    <xf numFmtId="0" fontId="28" fillId="0" borderId="0" xfId="0" applyFont="1" applyBorder="1" applyAlignment="1">
      <alignment/>
    </xf>
    <xf numFmtId="0" fontId="26" fillId="0" borderId="0" xfId="0" applyFont="1" applyBorder="1" applyAlignment="1">
      <alignment/>
    </xf>
    <xf numFmtId="0" fontId="29" fillId="0" borderId="0" xfId="0" applyFont="1" applyBorder="1" applyAlignment="1">
      <alignment/>
    </xf>
    <xf numFmtId="0" fontId="23" fillId="0" borderId="0" xfId="0" applyFont="1" applyAlignment="1">
      <alignment horizontal="left" vertical="center" indent="4"/>
    </xf>
    <xf numFmtId="170" fontId="2" fillId="0" borderId="15" xfId="0" applyNumberFormat="1" applyFont="1" applyBorder="1" applyAlignment="1">
      <alignment/>
    </xf>
    <xf numFmtId="0" fontId="30" fillId="0" borderId="10" xfId="0" applyFont="1" applyBorder="1" applyAlignment="1">
      <alignment/>
    </xf>
    <xf numFmtId="170" fontId="4" fillId="0" borderId="10" xfId="0" applyNumberFormat="1" applyFont="1" applyBorder="1" applyAlignment="1">
      <alignment/>
    </xf>
    <xf numFmtId="9" fontId="4" fillId="0" borderId="10" xfId="59" applyFont="1" applyBorder="1" applyAlignment="1">
      <alignment/>
    </xf>
    <xf numFmtId="170" fontId="4" fillId="21" borderId="10" xfId="0" applyNumberFormat="1" applyFont="1" applyFill="1" applyBorder="1" applyAlignment="1">
      <alignment/>
    </xf>
    <xf numFmtId="9" fontId="4" fillId="21" borderId="10" xfId="0" applyNumberFormat="1" applyFont="1" applyFill="1" applyBorder="1" applyAlignment="1">
      <alignment/>
    </xf>
    <xf numFmtId="0" fontId="4" fillId="0" borderId="10" xfId="0" applyFont="1" applyBorder="1" applyAlignment="1">
      <alignment/>
    </xf>
    <xf numFmtId="0" fontId="4" fillId="0" borderId="0" xfId="0" applyFont="1" applyBorder="1" applyAlignment="1">
      <alignment/>
    </xf>
    <xf numFmtId="9" fontId="2" fillId="0" borderId="10" xfId="0" applyNumberFormat="1" applyFont="1" applyBorder="1" applyAlignment="1">
      <alignment/>
    </xf>
    <xf numFmtId="3" fontId="4" fillId="0" borderId="10" xfId="0" applyNumberFormat="1" applyFont="1" applyBorder="1" applyAlignment="1">
      <alignment/>
    </xf>
    <xf numFmtId="170" fontId="4" fillId="0" borderId="14" xfId="0" applyNumberFormat="1" applyFont="1" applyBorder="1" applyAlignment="1">
      <alignment/>
    </xf>
    <xf numFmtId="0" fontId="30" fillId="0" borderId="0" xfId="0" applyFont="1" applyBorder="1" applyAlignment="1">
      <alignment/>
    </xf>
    <xf numFmtId="170" fontId="0" fillId="17" borderId="0" xfId="0" applyNumberFormat="1" applyFill="1" applyBorder="1" applyAlignment="1">
      <alignment/>
    </xf>
    <xf numFmtId="0" fontId="3" fillId="0" borderId="18" xfId="0" applyFont="1" applyFill="1" applyBorder="1" applyAlignment="1">
      <alignment wrapText="1"/>
    </xf>
    <xf numFmtId="170" fontId="4" fillId="0" borderId="0" xfId="0" applyNumberFormat="1" applyFont="1" applyBorder="1" applyAlignment="1">
      <alignment/>
    </xf>
    <xf numFmtId="0" fontId="4" fillId="0" borderId="11" xfId="0" applyFont="1" applyBorder="1" applyAlignment="1">
      <alignment/>
    </xf>
    <xf numFmtId="170" fontId="4" fillId="0" borderId="11" xfId="42" applyNumberFormat="1" applyFont="1" applyBorder="1" applyAlignment="1">
      <alignment/>
    </xf>
    <xf numFmtId="170" fontId="4" fillId="0" borderId="11" xfId="0" applyNumberFormat="1" applyFont="1" applyBorder="1" applyAlignment="1">
      <alignment/>
    </xf>
    <xf numFmtId="9" fontId="4" fillId="0" borderId="11" xfId="59" applyFont="1" applyBorder="1" applyAlignment="1">
      <alignment/>
    </xf>
    <xf numFmtId="170" fontId="4" fillId="21" borderId="11" xfId="42" applyNumberFormat="1" applyFont="1" applyFill="1" applyBorder="1" applyAlignment="1">
      <alignment/>
    </xf>
    <xf numFmtId="9" fontId="4" fillId="21" borderId="11" xfId="42" applyNumberFormat="1" applyFont="1" applyFill="1" applyBorder="1" applyAlignment="1">
      <alignment/>
    </xf>
    <xf numFmtId="170" fontId="4" fillId="21" borderId="11" xfId="0" applyNumberFormat="1" applyFont="1" applyFill="1" applyBorder="1" applyAlignment="1">
      <alignment/>
    </xf>
    <xf numFmtId="9" fontId="4" fillId="0" borderId="0" xfId="0" applyNumberFormat="1" applyFont="1" applyBorder="1" applyAlignment="1">
      <alignment/>
    </xf>
    <xf numFmtId="9" fontId="4" fillId="0" borderId="11" xfId="0" applyNumberFormat="1" applyFont="1" applyBorder="1" applyAlignment="1">
      <alignment/>
    </xf>
    <xf numFmtId="3" fontId="4" fillId="0" borderId="0" xfId="0" applyNumberFormat="1" applyFont="1" applyBorder="1" applyAlignment="1">
      <alignment/>
    </xf>
    <xf numFmtId="3" fontId="4" fillId="0" borderId="11" xfId="0" applyNumberFormat="1" applyFont="1" applyBorder="1" applyAlignment="1">
      <alignment/>
    </xf>
    <xf numFmtId="170" fontId="4" fillId="0" borderId="15" xfId="0" applyNumberFormat="1" applyFont="1" applyBorder="1" applyAlignment="1">
      <alignment/>
    </xf>
    <xf numFmtId="0" fontId="4" fillId="0" borderId="12" xfId="0" applyFont="1" applyBorder="1" applyAlignment="1">
      <alignment/>
    </xf>
    <xf numFmtId="170" fontId="4" fillId="0" borderId="10" xfId="42" applyNumberFormat="1" applyFont="1" applyBorder="1" applyAlignment="1">
      <alignment/>
    </xf>
    <xf numFmtId="3" fontId="4" fillId="21" borderId="10" xfId="0" applyNumberFormat="1" applyFont="1" applyFill="1" applyBorder="1" applyAlignment="1">
      <alignment/>
    </xf>
    <xf numFmtId="9" fontId="4" fillId="21" borderId="10" xfId="59" applyFont="1" applyFill="1" applyBorder="1" applyAlignment="1">
      <alignment/>
    </xf>
    <xf numFmtId="0" fontId="4" fillId="0" borderId="0" xfId="0" applyFont="1" applyAlignment="1">
      <alignment/>
    </xf>
    <xf numFmtId="0" fontId="4" fillId="0" borderId="12" xfId="0" applyFont="1" applyBorder="1" applyAlignment="1">
      <alignment wrapText="1"/>
    </xf>
    <xf numFmtId="170" fontId="4" fillId="0" borderId="12" xfId="42" applyNumberFormat="1" applyFont="1" applyBorder="1" applyAlignment="1">
      <alignment/>
    </xf>
    <xf numFmtId="9" fontId="4" fillId="0" borderId="12" xfId="59" applyFont="1" applyBorder="1" applyAlignment="1">
      <alignment/>
    </xf>
    <xf numFmtId="170" fontId="4" fillId="0" borderId="12" xfId="0" applyNumberFormat="1" applyFont="1" applyBorder="1" applyAlignment="1">
      <alignment/>
    </xf>
    <xf numFmtId="3" fontId="4" fillId="21" borderId="12" xfId="0" applyNumberFormat="1" applyFont="1" applyFill="1" applyBorder="1" applyAlignment="1">
      <alignment/>
    </xf>
    <xf numFmtId="170" fontId="4" fillId="21" borderId="12" xfId="42" applyNumberFormat="1" applyFont="1" applyFill="1" applyBorder="1" applyAlignment="1">
      <alignment wrapText="1"/>
    </xf>
    <xf numFmtId="9" fontId="4" fillId="21" borderId="12" xfId="59" applyFont="1" applyFill="1" applyBorder="1" applyAlignment="1">
      <alignment/>
    </xf>
    <xf numFmtId="170" fontId="4" fillId="21" borderId="12" xfId="0" applyNumberFormat="1" applyFont="1" applyFill="1" applyBorder="1" applyAlignment="1">
      <alignment/>
    </xf>
    <xf numFmtId="0" fontId="31" fillId="27" borderId="18" xfId="53" applyFont="1" applyFill="1" applyBorder="1" applyAlignment="1" applyProtection="1">
      <alignment/>
      <protection/>
    </xf>
    <xf numFmtId="0" fontId="31" fillId="0" borderId="13" xfId="53" applyFont="1" applyFill="1" applyBorder="1" applyAlignment="1" applyProtection="1">
      <alignment/>
      <protection/>
    </xf>
    <xf numFmtId="170" fontId="4" fillId="0" borderId="16" xfId="0" applyNumberFormat="1" applyFont="1" applyBorder="1" applyAlignment="1">
      <alignment/>
    </xf>
    <xf numFmtId="170" fontId="4" fillId="0" borderId="11" xfId="42" applyNumberFormat="1" applyFont="1" applyBorder="1" applyAlignment="1">
      <alignment wrapText="1"/>
    </xf>
    <xf numFmtId="170" fontId="4" fillId="25" borderId="11" xfId="0" applyNumberFormat="1" applyFont="1" applyFill="1" applyBorder="1" applyAlignment="1">
      <alignment/>
    </xf>
    <xf numFmtId="3" fontId="4" fillId="25" borderId="11" xfId="0" applyNumberFormat="1" applyFont="1" applyFill="1" applyBorder="1" applyAlignment="1">
      <alignment/>
    </xf>
    <xf numFmtId="9" fontId="4" fillId="25" borderId="11" xfId="0" applyNumberFormat="1" applyFont="1" applyFill="1" applyBorder="1" applyAlignment="1">
      <alignment/>
    </xf>
    <xf numFmtId="0" fontId="4" fillId="25" borderId="11" xfId="0" applyFont="1" applyFill="1" applyBorder="1" applyAlignment="1">
      <alignment/>
    </xf>
    <xf numFmtId="0" fontId="4" fillId="25" borderId="0" xfId="0" applyFont="1" applyFill="1" applyBorder="1" applyAlignment="1">
      <alignment/>
    </xf>
    <xf numFmtId="3" fontId="4" fillId="25" borderId="0" xfId="0" applyNumberFormat="1" applyFont="1" applyFill="1" applyBorder="1" applyAlignment="1">
      <alignment/>
    </xf>
    <xf numFmtId="170" fontId="4" fillId="25" borderId="0" xfId="0" applyNumberFormat="1" applyFont="1" applyFill="1" applyBorder="1" applyAlignment="1">
      <alignment/>
    </xf>
    <xf numFmtId="9" fontId="4" fillId="25" borderId="0" xfId="0" applyNumberFormat="1" applyFont="1" applyFill="1" applyBorder="1" applyAlignment="1">
      <alignment/>
    </xf>
    <xf numFmtId="3" fontId="4" fillId="0" borderId="17" xfId="0" applyNumberFormat="1" applyFont="1" applyBorder="1" applyAlignment="1">
      <alignment/>
    </xf>
    <xf numFmtId="0" fontId="32" fillId="0" borderId="0" xfId="0" applyFont="1" applyAlignment="1">
      <alignment horizontal="left" vertical="center" indent="4"/>
    </xf>
    <xf numFmtId="170" fontId="4" fillId="0" borderId="0" xfId="42" applyNumberFormat="1" applyFont="1" applyBorder="1" applyAlignment="1">
      <alignment wrapText="1"/>
    </xf>
    <xf numFmtId="170" fontId="4" fillId="0" borderId="0" xfId="42" applyNumberFormat="1" applyFont="1" applyBorder="1" applyAlignment="1">
      <alignment/>
    </xf>
    <xf numFmtId="170" fontId="4" fillId="21" borderId="0" xfId="42" applyNumberFormat="1" applyFont="1" applyFill="1" applyBorder="1" applyAlignment="1">
      <alignment wrapText="1"/>
    </xf>
    <xf numFmtId="9" fontId="4" fillId="21" borderId="0" xfId="42" applyNumberFormat="1" applyFont="1" applyFill="1" applyBorder="1" applyAlignment="1">
      <alignment wrapText="1"/>
    </xf>
    <xf numFmtId="170" fontId="4" fillId="21" borderId="0" xfId="0" applyNumberFormat="1" applyFont="1" applyFill="1" applyBorder="1" applyAlignment="1">
      <alignment/>
    </xf>
    <xf numFmtId="170" fontId="4" fillId="0" borderId="11" xfId="42" applyNumberFormat="1" applyFont="1" applyFill="1" applyBorder="1" applyAlignment="1">
      <alignment wrapText="1"/>
    </xf>
    <xf numFmtId="170" fontId="4" fillId="0" borderId="11" xfId="0" applyNumberFormat="1" applyFont="1" applyFill="1" applyBorder="1" applyAlignment="1">
      <alignment/>
    </xf>
    <xf numFmtId="170" fontId="4" fillId="0" borderId="10" xfId="42" applyNumberFormat="1" applyFont="1" applyFill="1" applyBorder="1" applyAlignment="1">
      <alignment wrapText="1"/>
    </xf>
    <xf numFmtId="0" fontId="0" fillId="0" borderId="0" xfId="0" applyFont="1" applyAlignment="1">
      <alignment/>
    </xf>
    <xf numFmtId="170" fontId="2" fillId="0" borderId="10" xfId="0" applyNumberFormat="1" applyFont="1" applyBorder="1" applyAlignment="1">
      <alignment/>
    </xf>
    <xf numFmtId="170" fontId="0" fillId="0" borderId="16" xfId="0" applyNumberFormat="1" applyBorder="1" applyAlignment="1">
      <alignment/>
    </xf>
    <xf numFmtId="0" fontId="0" fillId="0" borderId="15" xfId="0" applyFont="1" applyBorder="1" applyAlignment="1">
      <alignment/>
    </xf>
    <xf numFmtId="170" fontId="0" fillId="0" borderId="16" xfId="42" applyNumberFormat="1" applyFont="1" applyBorder="1" applyAlignment="1">
      <alignment wrapText="1"/>
    </xf>
    <xf numFmtId="0" fontId="16" fillId="0" borderId="0" xfId="53" applyAlignment="1" applyProtection="1">
      <alignment/>
      <protection/>
    </xf>
    <xf numFmtId="0" fontId="2" fillId="0" borderId="0" xfId="0" applyFont="1" applyBorder="1" applyAlignment="1">
      <alignment wrapText="1"/>
    </xf>
    <xf numFmtId="0" fontId="0" fillId="0" borderId="0" xfId="0" applyFont="1" applyAlignment="1">
      <alignment/>
    </xf>
    <xf numFmtId="0" fontId="16" fillId="0" borderId="0" xfId="53" applyFont="1" applyAlignment="1" applyProtection="1">
      <alignment/>
      <protection/>
    </xf>
    <xf numFmtId="0" fontId="16" fillId="0" borderId="0" xfId="53"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ppropriations.senate.gov/news.cfm?method=news.view&amp;id=7e62b4eb-ed09-4dd4-86f0-411534783127" TargetMode="External" /><Relationship Id="rId2" Type="http://schemas.openxmlformats.org/officeDocument/2006/relationships/hyperlink" Target="http://www.nytimes.com/cwire/2011/03/07/07climatewire-democrats-provide-a-counteroffer-to-gop-cuts-23869.html" TargetMode="External" /><Relationship Id="rId3" Type="http://schemas.openxmlformats.org/officeDocument/2006/relationships/hyperlink" Target="http://www.nytimes.com/cwire/2011/03/07/07climatewire-democrats-provide-a-counteroffer-to-gop-cuts-23869.html?pagewanted=2" TargetMode="External" /><Relationship Id="rId4" Type="http://schemas.openxmlformats.org/officeDocument/2006/relationships/hyperlink" Target="http://appropriations.senate.gov/news.cfm?method=news.view&amp;id=13dc6492-04b4-4ad4-9c13-936ba0d9ccad" TargetMode="External" /><Relationship Id="rId5" Type="http://schemas.openxmlformats.org/officeDocument/2006/relationships/hyperlink" Target="http://appropriations.senate.gov/news.cfm?method=news.view&amp;id=4083904b-4b7f-49cc-b783-1ea62c80de85" TargetMode="External" /><Relationship Id="rId6" Type="http://schemas.openxmlformats.org/officeDocument/2006/relationships/hyperlink" Target="http://www.pbtransportationupdate.com/" TargetMode="External" /><Relationship Id="rId7" Type="http://schemas.openxmlformats.org/officeDocument/2006/relationships/hyperlink" Target="http://www.aaas.org/spp/rd/" TargetMode="External" /><Relationship Id="rId8" Type="http://schemas.openxmlformats.org/officeDocument/2006/relationships/hyperlink" Target="http://www.nytimes.com/cwire/2011/03/07/07climatewire-democrats-provide-a-counteroffer-to-gop-cuts-23869.html" TargetMode="External" /><Relationship Id="rId9" Type="http://schemas.openxmlformats.org/officeDocument/2006/relationships/hyperlink" Target="http://www.nytimes.com/cwire/2011/03/07/07climatewire-democrats-provide-a-counteroffer-to-gop-cuts-23869.html?pagewanted=2" TargetMode="External" /><Relationship Id="rId10" Type="http://schemas.openxmlformats.org/officeDocument/2006/relationships/hyperlink" Target="http://appropriations.senate.gov/news.cfm?method=news.view&amp;id=13dc6492-04b4-4ad4-9c13-936ba0d9ccad" TargetMode="External" /><Relationship Id="rId11" Type="http://schemas.openxmlformats.org/officeDocument/2006/relationships/hyperlink" Target="http://appropriations.senate.gov/news.cfm?method=news.view&amp;id=4083904b-4b7f-49cc-b783-1ea62c80de85" TargetMode="External" /><Relationship Id="rId12" Type="http://schemas.openxmlformats.org/officeDocument/2006/relationships/hyperlink" Target="http://www.pbtransportationupdate.com/" TargetMode="External" /><Relationship Id="rId13" Type="http://schemas.openxmlformats.org/officeDocument/2006/relationships/hyperlink" Target="http://republicans.appropriations.house.gov/_files/41211ProgramCutsListFinalFY2011CR.pdf" TargetMode="External" /><Relationship Id="rId14" Type="http://schemas.openxmlformats.org/officeDocument/2006/relationships/hyperlink" Target="http://appropriations.senate.gov/news.cfm?method=news.view&amp;id=13dc6492-04b4-4ad4-9c13-936ba0d9ccad" TargetMode="External" /><Relationship Id="rId15" Type="http://schemas.openxmlformats.org/officeDocument/2006/relationships/hyperlink" Target="http://appropriations.senate.gov/news.cfm?method=news.view&amp;id=13dc6492-04b4-4ad4-9c13-936ba0d9ccad"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86"/>
  <sheetViews>
    <sheetView tabSelected="1" zoomScalePageLayoutView="0"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15.8515625" style="146" customWidth="1"/>
    <col min="2" max="2" width="46.57421875" style="0" customWidth="1"/>
    <col min="3" max="3" width="13.140625" style="2" customWidth="1"/>
    <col min="4" max="4" width="9.57421875" style="0" hidden="1" customWidth="1"/>
    <col min="5" max="5" width="13.28125" style="0" hidden="1" customWidth="1"/>
    <col min="6" max="7" width="9.140625" style="0" hidden="1" customWidth="1"/>
    <col min="8" max="8" width="8.421875" style="0" hidden="1" customWidth="1"/>
    <col min="9" max="9" width="19.140625" style="1" hidden="1" customWidth="1"/>
    <col min="10" max="10" width="9.140625" style="0" hidden="1" customWidth="1"/>
    <col min="11" max="11" width="9.140625" style="70" hidden="1" customWidth="1"/>
    <col min="12" max="13" width="9.140625" style="60" hidden="1" customWidth="1"/>
    <col min="14" max="14" width="9.140625" style="0" hidden="1" customWidth="1"/>
    <col min="15" max="15" width="12.7109375" style="60" hidden="1" customWidth="1"/>
    <col min="16" max="16" width="12.421875" style="0" hidden="1" customWidth="1"/>
    <col min="17" max="23" width="9.140625" style="0" hidden="1" customWidth="1"/>
    <col min="24" max="24" width="9.140625" style="12" hidden="1" customWidth="1"/>
    <col min="25" max="25" width="9.140625" style="125" hidden="1" customWidth="1"/>
    <col min="26" max="26" width="9.140625" style="0" hidden="1" customWidth="1"/>
    <col min="27" max="27" width="9.140625" style="86" hidden="1" customWidth="1"/>
    <col min="28" max="28" width="9.140625" style="0" hidden="1" customWidth="1"/>
    <col min="29" max="29" width="11.57421875" style="0" customWidth="1"/>
    <col min="30" max="30" width="12.7109375" style="0" customWidth="1"/>
    <col min="31" max="31" width="12.421875" style="0" customWidth="1"/>
    <col min="32" max="32" width="14.421875" style="0" hidden="1" customWidth="1"/>
    <col min="33" max="33" width="12.140625" style="0" customWidth="1"/>
    <col min="34" max="34" width="11.7109375" style="0" hidden="1" customWidth="1"/>
    <col min="37" max="37" width="11.57421875" style="0" bestFit="1" customWidth="1"/>
    <col min="40" max="40" width="10.7109375" style="0" bestFit="1" customWidth="1"/>
  </cols>
  <sheetData>
    <row r="1" spans="1:42" ht="104.25" customHeight="1">
      <c r="A1" s="132" t="s">
        <v>37</v>
      </c>
      <c r="B1" s="133" t="s">
        <v>76</v>
      </c>
      <c r="C1" s="133" t="s">
        <v>77</v>
      </c>
      <c r="D1" s="134" t="s">
        <v>69</v>
      </c>
      <c r="E1" s="134" t="s">
        <v>70</v>
      </c>
      <c r="F1" s="134" t="s">
        <v>3</v>
      </c>
      <c r="G1" s="134" t="s">
        <v>22</v>
      </c>
      <c r="H1" s="134" t="s">
        <v>18</v>
      </c>
      <c r="I1" s="134" t="s">
        <v>19</v>
      </c>
      <c r="J1" s="134" t="s">
        <v>65</v>
      </c>
      <c r="K1" s="135" t="s">
        <v>33</v>
      </c>
      <c r="L1" s="136" t="s">
        <v>31</v>
      </c>
      <c r="M1" s="136" t="s">
        <v>32</v>
      </c>
      <c r="N1" s="134" t="s">
        <v>19</v>
      </c>
      <c r="O1" s="136" t="s">
        <v>39</v>
      </c>
      <c r="P1" s="134" t="s">
        <v>38</v>
      </c>
      <c r="Q1" s="32"/>
      <c r="R1" s="32"/>
      <c r="S1" s="32"/>
      <c r="T1" s="137" t="s">
        <v>41</v>
      </c>
      <c r="U1" s="138" t="s">
        <v>39</v>
      </c>
      <c r="V1" s="134" t="s">
        <v>45</v>
      </c>
      <c r="W1" s="134" t="s">
        <v>46</v>
      </c>
      <c r="X1" s="134" t="s">
        <v>67</v>
      </c>
      <c r="Y1" s="139" t="s">
        <v>68</v>
      </c>
      <c r="Z1" s="134" t="s">
        <v>66</v>
      </c>
      <c r="AA1" s="140" t="s">
        <v>48</v>
      </c>
      <c r="AB1" s="32"/>
      <c r="AC1" s="134" t="s">
        <v>78</v>
      </c>
      <c r="AD1" s="134" t="s">
        <v>79</v>
      </c>
      <c r="AE1" s="147" t="s">
        <v>80</v>
      </c>
      <c r="AF1" s="150" t="s">
        <v>72</v>
      </c>
      <c r="AG1" s="179" t="s">
        <v>81</v>
      </c>
      <c r="AH1" s="150" t="s">
        <v>71</v>
      </c>
      <c r="AI1" s="12"/>
      <c r="AJ1" s="12"/>
      <c r="AK1" s="12"/>
      <c r="AL1" s="12"/>
      <c r="AM1" s="12"/>
      <c r="AN1" s="12"/>
      <c r="AO1" s="12"/>
      <c r="AP1" s="12"/>
    </row>
    <row r="2" spans="1:42" ht="12.75">
      <c r="A2" s="134" t="s">
        <v>14</v>
      </c>
      <c r="B2" s="11" t="s">
        <v>12</v>
      </c>
      <c r="C2" s="10">
        <v>58</v>
      </c>
      <c r="D2" s="12">
        <v>69</v>
      </c>
      <c r="E2" s="13">
        <v>16</v>
      </c>
      <c r="F2" s="13">
        <v>27</v>
      </c>
      <c r="G2" s="14">
        <f aca="true" t="shared" si="0" ref="G2:H7">E2/C2</f>
        <v>0.27586206896551724</v>
      </c>
      <c r="H2" s="15">
        <f t="shared" si="0"/>
        <v>0.391304347826087</v>
      </c>
      <c r="I2" s="8"/>
      <c r="J2" s="16">
        <f aca="true" t="shared" si="1" ref="J2:J35">SUM(C2-E2)</f>
        <v>42</v>
      </c>
      <c r="K2" s="61">
        <v>164</v>
      </c>
      <c r="L2" s="72">
        <f>SUM(K2-J2)/(J2)</f>
        <v>2.9047619047619047</v>
      </c>
      <c r="M2" s="72">
        <f>SUM(K2-C2)/C2</f>
        <v>1.8275862068965518</v>
      </c>
      <c r="N2" s="12"/>
      <c r="O2" s="55">
        <f aca="true" t="shared" si="2" ref="O2:O7">SUM(K2-C2)</f>
        <v>106</v>
      </c>
      <c r="P2" s="16">
        <f>SUM(J2-C2)</f>
        <v>-16</v>
      </c>
      <c r="Q2" s="12"/>
      <c r="R2" s="12"/>
      <c r="S2" s="12"/>
      <c r="T2" s="17">
        <v>164</v>
      </c>
      <c r="U2" s="16">
        <v>106</v>
      </c>
      <c r="V2" s="15">
        <f aca="true" t="shared" si="3" ref="V2:V7">SUM(T2-J2)/J2</f>
        <v>2.9047619047619047</v>
      </c>
      <c r="W2" s="15">
        <f aca="true" t="shared" si="4" ref="W2:W7">SUM(T2-C2)/C2</f>
        <v>1.8275862068965518</v>
      </c>
      <c r="X2" s="30">
        <v>58</v>
      </c>
      <c r="Y2" s="122"/>
      <c r="Z2" s="17">
        <v>164</v>
      </c>
      <c r="AA2" s="87"/>
      <c r="AB2" s="12"/>
      <c r="AC2" s="16">
        <f aca="true" t="shared" si="5" ref="AC2:AC7">SUM(J2-C2)</f>
        <v>-16</v>
      </c>
      <c r="AD2" s="16">
        <f>SUM(X2-C2)</f>
        <v>0</v>
      </c>
      <c r="AE2" s="16">
        <f aca="true" t="shared" si="6" ref="AE2:AE7">SUM(T2-C2)</f>
        <v>106</v>
      </c>
      <c r="AF2" s="155"/>
      <c r="AG2" s="115">
        <v>-1</v>
      </c>
      <c r="AH2" s="151"/>
      <c r="AI2" s="25" t="s">
        <v>73</v>
      </c>
      <c r="AJ2" s="12"/>
      <c r="AK2" s="12"/>
      <c r="AL2" s="12"/>
      <c r="AM2" s="12"/>
      <c r="AN2" s="12"/>
      <c r="AO2" s="12"/>
      <c r="AP2" s="12"/>
    </row>
    <row r="3" spans="1:42" ht="12.75">
      <c r="A3" s="134"/>
      <c r="B3" s="11" t="s">
        <v>6</v>
      </c>
      <c r="C3" s="10">
        <v>32</v>
      </c>
      <c r="D3" s="12">
        <v>29</v>
      </c>
      <c r="E3" s="13">
        <v>5</v>
      </c>
      <c r="F3" s="13">
        <v>1.5</v>
      </c>
      <c r="G3" s="14">
        <f t="shared" si="0"/>
        <v>0.15625</v>
      </c>
      <c r="H3" s="15">
        <f t="shared" si="0"/>
        <v>0.05172413793103448</v>
      </c>
      <c r="I3" s="8"/>
      <c r="J3" s="16">
        <f t="shared" si="1"/>
        <v>27</v>
      </c>
      <c r="K3" s="61">
        <v>40</v>
      </c>
      <c r="L3" s="72">
        <f>SUM(K3-J3)/(J3)</f>
        <v>0.48148148148148145</v>
      </c>
      <c r="M3" s="72">
        <f>SUM(K3-C3)/C3</f>
        <v>0.25</v>
      </c>
      <c r="N3" s="12"/>
      <c r="O3" s="55">
        <f t="shared" si="2"/>
        <v>8</v>
      </c>
      <c r="P3" s="16">
        <f aca="true" t="shared" si="7" ref="P3:P56">SUM(J3-C3)</f>
        <v>-5</v>
      </c>
      <c r="Q3" s="12"/>
      <c r="R3" s="12"/>
      <c r="S3" s="12"/>
      <c r="T3" s="17">
        <v>40</v>
      </c>
      <c r="U3" s="16">
        <v>8</v>
      </c>
      <c r="V3" s="15">
        <f t="shared" si="3"/>
        <v>0.48148148148148145</v>
      </c>
      <c r="W3" s="15">
        <f t="shared" si="4"/>
        <v>0.25</v>
      </c>
      <c r="X3" s="30">
        <v>32</v>
      </c>
      <c r="Y3" s="122"/>
      <c r="Z3" s="17">
        <v>40</v>
      </c>
      <c r="AA3" s="87"/>
      <c r="AB3" s="12"/>
      <c r="AC3" s="16">
        <f t="shared" si="5"/>
        <v>-5</v>
      </c>
      <c r="AD3" s="16">
        <f aca="true" t="shared" si="8" ref="AD3:AD19">SUM(X3-C3)</f>
        <v>0</v>
      </c>
      <c r="AE3" s="16">
        <f t="shared" si="6"/>
        <v>8</v>
      </c>
      <c r="AF3" s="155"/>
      <c r="AG3" s="115">
        <v>-3</v>
      </c>
      <c r="AH3" s="151"/>
      <c r="AI3" s="25" t="s">
        <v>73</v>
      </c>
      <c r="AJ3" s="12"/>
      <c r="AK3" s="12"/>
      <c r="AL3" s="12"/>
      <c r="AM3" s="12"/>
      <c r="AN3" s="17"/>
      <c r="AO3" s="12"/>
      <c r="AP3" s="12"/>
    </row>
    <row r="4" spans="1:42" ht="12.75">
      <c r="A4" s="134"/>
      <c r="B4" s="11" t="s">
        <v>102</v>
      </c>
      <c r="C4" s="10">
        <v>20.8</v>
      </c>
      <c r="D4" s="13">
        <v>22</v>
      </c>
      <c r="E4" s="12">
        <v>7</v>
      </c>
      <c r="F4" s="13">
        <v>8.2</v>
      </c>
      <c r="G4" s="14">
        <f t="shared" si="0"/>
        <v>0.3365384615384615</v>
      </c>
      <c r="H4" s="15">
        <f t="shared" si="0"/>
        <v>0.3727272727272727</v>
      </c>
      <c r="I4" s="8"/>
      <c r="J4" s="16">
        <f t="shared" si="1"/>
        <v>13.8</v>
      </c>
      <c r="K4" s="61">
        <v>20.8</v>
      </c>
      <c r="L4" s="72">
        <f>SUM(K4-J4)/(J4)</f>
        <v>0.5072463768115941</v>
      </c>
      <c r="M4" s="72">
        <f>SUM(K4-C4)/C4</f>
        <v>0</v>
      </c>
      <c r="N4" s="12"/>
      <c r="O4" s="55">
        <f t="shared" si="2"/>
        <v>0</v>
      </c>
      <c r="P4" s="16">
        <f t="shared" si="7"/>
        <v>-7</v>
      </c>
      <c r="Q4" s="12"/>
      <c r="R4" s="12"/>
      <c r="S4" s="12"/>
      <c r="T4" s="17">
        <v>20.8</v>
      </c>
      <c r="U4" s="16">
        <v>0</v>
      </c>
      <c r="V4" s="15">
        <f t="shared" si="3"/>
        <v>0.5072463768115941</v>
      </c>
      <c r="W4" s="15">
        <f t="shared" si="4"/>
        <v>0</v>
      </c>
      <c r="X4" s="25">
        <v>21</v>
      </c>
      <c r="Y4" s="123"/>
      <c r="Z4" s="17">
        <v>20.8</v>
      </c>
      <c r="AA4" s="94"/>
      <c r="AB4" s="12"/>
      <c r="AC4" s="16">
        <f t="shared" si="5"/>
        <v>-7</v>
      </c>
      <c r="AD4" s="16">
        <f t="shared" si="8"/>
        <v>0.1999999999999993</v>
      </c>
      <c r="AE4" s="16">
        <f t="shared" si="6"/>
        <v>0</v>
      </c>
      <c r="AF4" s="155"/>
      <c r="AG4" s="115">
        <v>-1</v>
      </c>
      <c r="AH4" s="151"/>
      <c r="AI4" s="25" t="s">
        <v>73</v>
      </c>
      <c r="AJ4" s="12"/>
      <c r="AK4" s="12"/>
      <c r="AL4" s="12"/>
      <c r="AM4" s="12"/>
      <c r="AN4" s="12"/>
      <c r="AO4" s="12"/>
      <c r="AP4" s="12"/>
    </row>
    <row r="5" spans="1:42" ht="12.75">
      <c r="A5" s="134"/>
      <c r="B5" s="25" t="s">
        <v>10</v>
      </c>
      <c r="C5" s="13">
        <v>4889</v>
      </c>
      <c r="D5" s="13">
        <v>5121</v>
      </c>
      <c r="E5" s="13">
        <v>872</v>
      </c>
      <c r="F5" s="13">
        <v>1110</v>
      </c>
      <c r="G5" s="14">
        <f t="shared" si="0"/>
        <v>0.17835958273675598</v>
      </c>
      <c r="H5" s="15">
        <f t="shared" si="0"/>
        <v>0.21675454012888107</v>
      </c>
      <c r="I5" s="8"/>
      <c r="J5" s="16">
        <f t="shared" si="1"/>
        <v>4017</v>
      </c>
      <c r="K5" s="61">
        <v>5416.114</v>
      </c>
      <c r="L5" s="72">
        <f>SUM(K5-J5)/(J5)</f>
        <v>0.3482982325118246</v>
      </c>
      <c r="M5" s="72">
        <f>SUM(K5-C5)/C5</f>
        <v>0.10781632235631</v>
      </c>
      <c r="N5" s="12"/>
      <c r="O5" s="55">
        <f t="shared" si="2"/>
        <v>527.1139999999996</v>
      </c>
      <c r="P5" s="16">
        <f t="shared" si="7"/>
        <v>-872</v>
      </c>
      <c r="Q5" s="12"/>
      <c r="R5" s="12"/>
      <c r="S5" s="12"/>
      <c r="T5" s="17">
        <v>5416.114</v>
      </c>
      <c r="U5" s="16">
        <v>527.1139999999996</v>
      </c>
      <c r="V5" s="15">
        <f t="shared" si="3"/>
        <v>0.3482982325118246</v>
      </c>
      <c r="W5" s="15">
        <f t="shared" si="4"/>
        <v>0.10781632235631</v>
      </c>
      <c r="X5" s="17">
        <v>4733</v>
      </c>
      <c r="Y5" s="123" t="s">
        <v>49</v>
      </c>
      <c r="Z5" s="17">
        <v>5416.114</v>
      </c>
      <c r="AA5" s="86" t="s">
        <v>49</v>
      </c>
      <c r="AB5" s="12"/>
      <c r="AC5" s="114">
        <f t="shared" si="5"/>
        <v>-872</v>
      </c>
      <c r="AD5" s="16">
        <f t="shared" si="8"/>
        <v>-156</v>
      </c>
      <c r="AE5" s="16">
        <f t="shared" si="6"/>
        <v>527.1139999999996</v>
      </c>
      <c r="AF5" s="12"/>
      <c r="AG5" s="115">
        <v>-35</v>
      </c>
      <c r="AH5" s="12">
        <v>-252</v>
      </c>
      <c r="AI5" s="12"/>
      <c r="AJ5" s="12"/>
      <c r="AK5" s="12"/>
      <c r="AL5" s="12"/>
      <c r="AM5" s="12"/>
      <c r="AN5" s="12"/>
      <c r="AO5" s="12"/>
      <c r="AP5" s="12"/>
    </row>
    <row r="6" spans="1:42" ht="12.75">
      <c r="A6" s="134"/>
      <c r="B6" s="30" t="s">
        <v>11</v>
      </c>
      <c r="C6" s="18">
        <v>320</v>
      </c>
      <c r="D6" s="12">
        <v>562</v>
      </c>
      <c r="E6" s="13">
        <v>303</v>
      </c>
      <c r="F6" s="13">
        <v>578.7</v>
      </c>
      <c r="G6" s="14">
        <f t="shared" si="0"/>
        <v>0.946875</v>
      </c>
      <c r="H6" s="15">
        <f t="shared" si="0"/>
        <v>1.0297153024911032</v>
      </c>
      <c r="I6" s="8"/>
      <c r="J6" s="109">
        <f t="shared" si="1"/>
        <v>17</v>
      </c>
      <c r="K6" s="110">
        <v>1797</v>
      </c>
      <c r="L6" s="111">
        <f>SUM(K6-J6)/(J6)</f>
        <v>104.70588235294117</v>
      </c>
      <c r="M6" s="111">
        <f>SUM(K6-C6)/C6</f>
        <v>4.615625</v>
      </c>
      <c r="N6" s="112"/>
      <c r="O6" s="109">
        <f t="shared" si="2"/>
        <v>1477</v>
      </c>
      <c r="P6" s="109">
        <f t="shared" si="7"/>
        <v>-303</v>
      </c>
      <c r="Q6" s="112"/>
      <c r="R6" s="112"/>
      <c r="S6" s="112"/>
      <c r="T6" s="110">
        <v>1797</v>
      </c>
      <c r="U6" s="109">
        <v>1477</v>
      </c>
      <c r="V6" s="113">
        <f t="shared" si="3"/>
        <v>104.70588235294117</v>
      </c>
      <c r="W6" s="113">
        <f t="shared" si="4"/>
        <v>4.615625</v>
      </c>
      <c r="X6" s="131">
        <v>320</v>
      </c>
      <c r="Y6" s="126" t="s">
        <v>50</v>
      </c>
      <c r="Z6" s="17">
        <v>1797</v>
      </c>
      <c r="AA6" s="93" t="s">
        <v>50</v>
      </c>
      <c r="AB6" s="12"/>
      <c r="AC6" s="114">
        <f t="shared" si="5"/>
        <v>-303</v>
      </c>
      <c r="AD6" s="16">
        <f t="shared" si="8"/>
        <v>0</v>
      </c>
      <c r="AE6" s="16">
        <f t="shared" si="6"/>
        <v>1477</v>
      </c>
      <c r="AF6" s="155"/>
      <c r="AG6" s="115">
        <v>32</v>
      </c>
      <c r="AH6" s="12"/>
      <c r="AI6" s="25" t="s">
        <v>73</v>
      </c>
      <c r="AJ6" s="153"/>
      <c r="AK6" s="12"/>
      <c r="AL6" s="12"/>
      <c r="AM6" s="12"/>
      <c r="AN6" s="12"/>
      <c r="AO6" s="12"/>
      <c r="AP6" s="12"/>
    </row>
    <row r="7" spans="1:42" s="172" customFormat="1" ht="12.75">
      <c r="A7" s="141"/>
      <c r="B7" s="181" t="s">
        <v>16</v>
      </c>
      <c r="C7" s="182">
        <f>SUM(C2:C6)</f>
        <v>5319.8</v>
      </c>
      <c r="D7" s="183">
        <f>SUM(D2:D6)</f>
        <v>5803</v>
      </c>
      <c r="E7" s="183">
        <f>SUM(E2:E6)</f>
        <v>1203</v>
      </c>
      <c r="F7" s="183">
        <f>SUM(F2:F6)</f>
        <v>1725.4</v>
      </c>
      <c r="G7" s="184">
        <f t="shared" si="0"/>
        <v>0.22613632091432007</v>
      </c>
      <c r="H7" s="184">
        <f t="shared" si="0"/>
        <v>0.29732896777528867</v>
      </c>
      <c r="I7" s="141"/>
      <c r="J7" s="183">
        <f t="shared" si="1"/>
        <v>4116.8</v>
      </c>
      <c r="K7" s="185">
        <f>SUM(K2:K6)</f>
        <v>7437.914</v>
      </c>
      <c r="L7" s="186">
        <f>SUM(L2:L6)</f>
        <v>108.94767034850798</v>
      </c>
      <c r="M7" s="186">
        <f>SUM(M2:M6)</f>
        <v>6.8010275292528615</v>
      </c>
      <c r="N7" s="181"/>
      <c r="O7" s="187">
        <f t="shared" si="2"/>
        <v>2118.1139999999996</v>
      </c>
      <c r="P7" s="183">
        <f t="shared" si="7"/>
        <v>-1203</v>
      </c>
      <c r="Q7" s="181"/>
      <c r="R7" s="181"/>
      <c r="S7" s="181"/>
      <c r="T7" s="183">
        <v>7437.914</v>
      </c>
      <c r="U7" s="183">
        <v>2118.1139999999996</v>
      </c>
      <c r="V7" s="188">
        <f t="shared" si="3"/>
        <v>0.8067222114263505</v>
      </c>
      <c r="W7" s="189">
        <f t="shared" si="4"/>
        <v>0.3981566976202112</v>
      </c>
      <c r="X7" s="190">
        <f>SUM(X6+X5+X4+X3+X2)</f>
        <v>5164</v>
      </c>
      <c r="Y7" s="129"/>
      <c r="Z7" s="191">
        <v>7437.914</v>
      </c>
      <c r="AA7" s="90"/>
      <c r="AB7" s="173"/>
      <c r="AC7" s="180">
        <f t="shared" si="5"/>
        <v>-1203</v>
      </c>
      <c r="AD7" s="180">
        <f t="shared" si="8"/>
        <v>-155.80000000000018</v>
      </c>
      <c r="AE7" s="180">
        <f t="shared" si="6"/>
        <v>2118.1139999999996</v>
      </c>
      <c r="AF7" s="173"/>
      <c r="AG7" s="192">
        <f>SUM(AG2:AG6)</f>
        <v>-8</v>
      </c>
      <c r="AH7" s="173"/>
      <c r="AI7" s="173"/>
      <c r="AJ7" s="173"/>
      <c r="AK7" s="173"/>
      <c r="AL7" s="173"/>
      <c r="AM7" s="173"/>
      <c r="AN7" s="173"/>
      <c r="AO7" s="173"/>
      <c r="AP7" s="173"/>
    </row>
    <row r="8" spans="1:42" s="3" customFormat="1" ht="12.75">
      <c r="A8" s="142"/>
      <c r="B8" s="25"/>
      <c r="C8" s="13"/>
      <c r="D8" s="12"/>
      <c r="E8" s="12"/>
      <c r="F8" s="12"/>
      <c r="G8" s="19"/>
      <c r="H8" s="12"/>
      <c r="I8" s="23"/>
      <c r="J8" s="16">
        <f t="shared" si="1"/>
        <v>0</v>
      </c>
      <c r="K8" s="63"/>
      <c r="L8" s="57"/>
      <c r="M8" s="57"/>
      <c r="N8" s="19"/>
      <c r="O8" s="57"/>
      <c r="P8" s="6">
        <f t="shared" si="7"/>
        <v>0</v>
      </c>
      <c r="Q8" s="5"/>
      <c r="R8" s="5"/>
      <c r="S8" s="5"/>
      <c r="T8" s="45"/>
      <c r="U8" s="5"/>
      <c r="V8" s="5"/>
      <c r="W8" s="5"/>
      <c r="X8" s="5"/>
      <c r="Y8" s="123"/>
      <c r="Z8" s="100"/>
      <c r="AA8" s="88"/>
      <c r="AB8" s="19"/>
      <c r="AC8" s="4"/>
      <c r="AD8" s="5"/>
      <c r="AE8" s="5"/>
      <c r="AF8" s="5"/>
      <c r="AG8" s="116"/>
      <c r="AH8" s="19"/>
      <c r="AI8" s="19"/>
      <c r="AJ8" s="19"/>
      <c r="AK8" s="19"/>
      <c r="AL8" s="19"/>
      <c r="AM8" s="19"/>
      <c r="AN8" s="19"/>
      <c r="AO8" s="19"/>
      <c r="AP8" s="19"/>
    </row>
    <row r="9" spans="1:42" ht="12.75">
      <c r="A9" s="143" t="s">
        <v>15</v>
      </c>
      <c r="B9" s="84" t="s">
        <v>0</v>
      </c>
      <c r="C9" s="39">
        <v>111</v>
      </c>
      <c r="D9" s="39">
        <v>129</v>
      </c>
      <c r="E9" s="39">
        <v>15.4</v>
      </c>
      <c r="F9" s="39">
        <v>34</v>
      </c>
      <c r="G9" s="40">
        <f aca="true" t="shared" si="9" ref="G9:H11">E9/C9</f>
        <v>0.13873873873873874</v>
      </c>
      <c r="H9" s="41">
        <f t="shared" si="9"/>
        <v>0.26356589147286824</v>
      </c>
      <c r="I9" s="38"/>
      <c r="J9" s="42">
        <f t="shared" si="1"/>
        <v>95.6</v>
      </c>
      <c r="K9" s="64">
        <v>124</v>
      </c>
      <c r="L9" s="74">
        <f>SUM(K9-J9)/(J9)</f>
        <v>0.297071129707113</v>
      </c>
      <c r="M9" s="74">
        <f>SUM(K9-C9)/C9</f>
        <v>0.11711711711711711</v>
      </c>
      <c r="N9" s="44"/>
      <c r="O9" s="58">
        <f>SUM(K9-C9)</f>
        <v>13</v>
      </c>
      <c r="P9" s="16">
        <f t="shared" si="7"/>
        <v>-15.400000000000006</v>
      </c>
      <c r="Q9" s="12"/>
      <c r="R9" s="12"/>
      <c r="S9" s="12"/>
      <c r="T9" s="17">
        <v>124</v>
      </c>
      <c r="U9" s="16">
        <v>13</v>
      </c>
      <c r="V9" s="15">
        <f>SUM(T9-J9)/J9</f>
        <v>0.297071129707113</v>
      </c>
      <c r="W9" s="15">
        <f>SUM(T9-C9)/C9</f>
        <v>0.11711711711711711</v>
      </c>
      <c r="X9" s="91">
        <v>108.5</v>
      </c>
      <c r="Y9" s="123" t="s">
        <v>51</v>
      </c>
      <c r="Z9" s="17">
        <v>124</v>
      </c>
      <c r="AA9" s="88" t="s">
        <v>51</v>
      </c>
      <c r="AB9" s="12"/>
      <c r="AC9" s="16">
        <f>SUM(J9-C9)</f>
        <v>-15.400000000000006</v>
      </c>
      <c r="AD9" s="16">
        <f t="shared" si="8"/>
        <v>-2.5</v>
      </c>
      <c r="AE9" s="42">
        <f>SUM(T9-C9)</f>
        <v>13</v>
      </c>
      <c r="AF9" s="44"/>
      <c r="AG9" s="230">
        <v>-15</v>
      </c>
      <c r="AH9" s="12">
        <v>-34</v>
      </c>
      <c r="AI9" s="12"/>
      <c r="AJ9" s="12"/>
      <c r="AK9" s="12"/>
      <c r="AL9" s="12"/>
      <c r="AM9" s="12"/>
      <c r="AN9" s="12"/>
      <c r="AO9" s="12"/>
      <c r="AP9" s="12"/>
    </row>
    <row r="10" spans="1:42" ht="12.75">
      <c r="A10" s="134"/>
      <c r="B10" s="26" t="s">
        <v>1</v>
      </c>
      <c r="C10" s="13">
        <v>17</v>
      </c>
      <c r="D10" s="13">
        <v>21</v>
      </c>
      <c r="E10" s="13">
        <v>5.1</v>
      </c>
      <c r="F10" s="13">
        <v>9</v>
      </c>
      <c r="G10" s="14">
        <f t="shared" si="9"/>
        <v>0.3</v>
      </c>
      <c r="H10" s="15">
        <f t="shared" si="9"/>
        <v>0.42857142857142855</v>
      </c>
      <c r="I10" s="8"/>
      <c r="J10" s="16">
        <f t="shared" si="1"/>
        <v>11.9</v>
      </c>
      <c r="K10" s="61">
        <v>17.6</v>
      </c>
      <c r="L10" s="72">
        <f>SUM(K10-J10)/(J10)</f>
        <v>0.47899159663865554</v>
      </c>
      <c r="M10" s="72">
        <f>SUM(K10-C10)/C10</f>
        <v>0.035294117647058906</v>
      </c>
      <c r="N10" s="12"/>
      <c r="O10" s="55">
        <f>SUM(K10-C10)</f>
        <v>0.6000000000000014</v>
      </c>
      <c r="P10" s="16">
        <f t="shared" si="7"/>
        <v>-5.1</v>
      </c>
      <c r="Q10" s="12"/>
      <c r="R10" s="12"/>
      <c r="S10" s="12"/>
      <c r="T10" s="17">
        <v>17.6</v>
      </c>
      <c r="U10" s="16">
        <v>0.6000000000000014</v>
      </c>
      <c r="V10" s="15">
        <f>SUM(T10-J10)/J10</f>
        <v>0.47899159663865554</v>
      </c>
      <c r="W10" s="15">
        <f>SUM(T10-C10)/C10</f>
        <v>0.035294117647058906</v>
      </c>
      <c r="X10" s="25">
        <v>17</v>
      </c>
      <c r="Y10" s="123"/>
      <c r="Z10" s="17">
        <v>17.6</v>
      </c>
      <c r="AA10" s="94"/>
      <c r="AB10" s="12"/>
      <c r="AC10" s="16">
        <f>SUM(J10-C10)</f>
        <v>-5.1</v>
      </c>
      <c r="AD10" s="16">
        <f t="shared" si="8"/>
        <v>0</v>
      </c>
      <c r="AE10" s="16">
        <f>SUM(T10-C10)</f>
        <v>0.6000000000000014</v>
      </c>
      <c r="AF10" s="155"/>
      <c r="AG10" s="115">
        <v>-1</v>
      </c>
      <c r="AH10" s="151"/>
      <c r="AI10" s="25" t="s">
        <v>73</v>
      </c>
      <c r="AJ10" s="12"/>
      <c r="AK10" s="12"/>
      <c r="AL10" s="12"/>
      <c r="AM10" s="12"/>
      <c r="AN10" s="12"/>
      <c r="AO10" s="12"/>
      <c r="AP10" s="12"/>
    </row>
    <row r="11" spans="1:42" s="193" customFormat="1" ht="12.75">
      <c r="A11" s="141"/>
      <c r="B11" s="181" t="s">
        <v>16</v>
      </c>
      <c r="C11" s="182">
        <f>SUM(C9:C10)</f>
        <v>128</v>
      </c>
      <c r="D11" s="183">
        <f>SUM(D9:D10)</f>
        <v>150</v>
      </c>
      <c r="E11" s="183">
        <f>SUM(E9:E10)</f>
        <v>20.5</v>
      </c>
      <c r="F11" s="183">
        <f>SUM(F9:F10)</f>
        <v>43</v>
      </c>
      <c r="G11" s="184">
        <f t="shared" si="9"/>
        <v>0.16015625</v>
      </c>
      <c r="H11" s="184">
        <f t="shared" si="9"/>
        <v>0.2866666666666667</v>
      </c>
      <c r="I11" s="141"/>
      <c r="J11" s="183">
        <f t="shared" si="1"/>
        <v>107.5</v>
      </c>
      <c r="K11" s="185">
        <f>SUM(K9:K10)</f>
        <v>141.6</v>
      </c>
      <c r="L11" s="186">
        <f>SUM(L9:L10)</f>
        <v>0.7760627263457686</v>
      </c>
      <c r="M11" s="186">
        <f>SUM(M9:M10)</f>
        <v>0.152411234764176</v>
      </c>
      <c r="N11" s="181"/>
      <c r="O11" s="187">
        <f>SUM(K11-C11)</f>
        <v>13.599999999999994</v>
      </c>
      <c r="P11" s="183">
        <f t="shared" si="7"/>
        <v>-20.5</v>
      </c>
      <c r="Q11" s="173"/>
      <c r="R11" s="173"/>
      <c r="S11" s="173"/>
      <c r="T11" s="183">
        <v>141.6</v>
      </c>
      <c r="U11" s="183">
        <v>13.599999999999994</v>
      </c>
      <c r="V11" s="188">
        <f>SUM(T11-J11)/J11</f>
        <v>0.31720930232558137</v>
      </c>
      <c r="W11" s="189">
        <f>SUM(T11-C11)/C11</f>
        <v>0.10624999999999996</v>
      </c>
      <c r="X11" s="190">
        <f>SUM(X10+X9)</f>
        <v>125.5</v>
      </c>
      <c r="Y11" s="129"/>
      <c r="Z11" s="191">
        <v>141.6</v>
      </c>
      <c r="AA11" s="90"/>
      <c r="AB11" s="173"/>
      <c r="AC11" s="180">
        <f>SUM(J11-C11)</f>
        <v>-20.5</v>
      </c>
      <c r="AD11" s="180">
        <f t="shared" si="8"/>
        <v>-2.5</v>
      </c>
      <c r="AE11" s="180">
        <f>SUM(T11-C11)</f>
        <v>13.599999999999994</v>
      </c>
      <c r="AF11" s="173"/>
      <c r="AG11" s="192">
        <f>SUM(AG9:AG10)</f>
        <v>-16</v>
      </c>
      <c r="AH11" s="173"/>
      <c r="AI11" s="173"/>
      <c r="AJ11" s="173"/>
      <c r="AK11" s="173"/>
      <c r="AL11" s="173"/>
      <c r="AM11" s="173"/>
      <c r="AN11" s="173"/>
      <c r="AO11" s="173"/>
      <c r="AP11" s="173"/>
    </row>
    <row r="12" spans="1:33" s="19" customFormat="1" ht="12.75">
      <c r="A12" s="142"/>
      <c r="B12" s="25"/>
      <c r="C12" s="13"/>
      <c r="D12" s="12"/>
      <c r="E12" s="4"/>
      <c r="F12" s="12"/>
      <c r="H12" s="12"/>
      <c r="I12" s="23"/>
      <c r="J12" s="16">
        <f t="shared" si="1"/>
        <v>0</v>
      </c>
      <c r="K12" s="63"/>
      <c r="L12" s="57"/>
      <c r="M12" s="57"/>
      <c r="O12" s="57"/>
      <c r="P12" s="16">
        <f t="shared" si="7"/>
        <v>0</v>
      </c>
      <c r="T12" s="45"/>
      <c r="U12" s="5"/>
      <c r="V12" s="5"/>
      <c r="W12" s="5"/>
      <c r="X12" s="5"/>
      <c r="Y12" s="123"/>
      <c r="Z12" s="100"/>
      <c r="AA12" s="88"/>
      <c r="AC12" s="4"/>
      <c r="AD12" s="5"/>
      <c r="AE12" s="5"/>
      <c r="AF12" s="5"/>
      <c r="AG12" s="116"/>
    </row>
    <row r="13" spans="1:42" ht="38.25">
      <c r="A13" s="143" t="s">
        <v>85</v>
      </c>
      <c r="B13" s="54" t="s">
        <v>5</v>
      </c>
      <c r="C13" s="50">
        <v>0</v>
      </c>
      <c r="D13" s="39">
        <v>0</v>
      </c>
      <c r="E13" s="16">
        <v>0</v>
      </c>
      <c r="F13" s="39">
        <v>250</v>
      </c>
      <c r="G13" s="44"/>
      <c r="H13" s="44"/>
      <c r="I13" s="38" t="s">
        <v>20</v>
      </c>
      <c r="J13" s="42">
        <f t="shared" si="1"/>
        <v>0</v>
      </c>
      <c r="K13" s="64">
        <v>550</v>
      </c>
      <c r="L13" s="69">
        <v>0</v>
      </c>
      <c r="M13" s="69">
        <v>0</v>
      </c>
      <c r="N13" s="44"/>
      <c r="O13" s="58">
        <f aca="true" t="shared" si="10" ref="O13:O35">SUM(K13-C13)</f>
        <v>550</v>
      </c>
      <c r="P13" s="42">
        <f t="shared" si="7"/>
        <v>0</v>
      </c>
      <c r="Q13" s="12"/>
      <c r="R13" s="12"/>
      <c r="S13" s="12"/>
      <c r="T13" s="17">
        <v>550</v>
      </c>
      <c r="U13" s="16">
        <v>550</v>
      </c>
      <c r="V13" s="16">
        <v>0</v>
      </c>
      <c r="W13" s="16">
        <v>0</v>
      </c>
      <c r="X13" s="12">
        <v>200</v>
      </c>
      <c r="Y13" s="124" t="s">
        <v>52</v>
      </c>
      <c r="Z13" s="17">
        <v>550</v>
      </c>
      <c r="AA13" s="89" t="s">
        <v>52</v>
      </c>
      <c r="AB13" s="12"/>
      <c r="AC13" s="16">
        <f aca="true" t="shared" si="11" ref="AC13:AC19">SUM(J13-C13)</f>
        <v>0</v>
      </c>
      <c r="AD13" s="16">
        <f t="shared" si="8"/>
        <v>200</v>
      </c>
      <c r="AE13" s="42">
        <f>SUM(T13-C13)</f>
        <v>550</v>
      </c>
      <c r="AF13" s="43">
        <v>180</v>
      </c>
      <c r="AG13" s="230">
        <v>180</v>
      </c>
      <c r="AH13" s="151"/>
      <c r="AI13" s="12"/>
      <c r="AJ13" s="12"/>
      <c r="AK13" s="12"/>
      <c r="AL13" s="12"/>
      <c r="AM13" s="12"/>
      <c r="AN13" s="12"/>
      <c r="AO13" s="12"/>
      <c r="AP13" s="12"/>
    </row>
    <row r="14" spans="1:42" ht="25.5">
      <c r="A14" s="134"/>
      <c r="B14" s="26" t="s">
        <v>82</v>
      </c>
      <c r="C14" s="13">
        <v>0</v>
      </c>
      <c r="D14" s="13">
        <v>0</v>
      </c>
      <c r="E14" s="13">
        <v>18</v>
      </c>
      <c r="F14" s="13">
        <v>18</v>
      </c>
      <c r="G14" s="12"/>
      <c r="H14" s="27"/>
      <c r="I14" s="8" t="s">
        <v>21</v>
      </c>
      <c r="J14" s="16">
        <f t="shared" si="1"/>
        <v>-18</v>
      </c>
      <c r="K14" s="61">
        <v>291</v>
      </c>
      <c r="L14" s="75">
        <f>SUM(K14-J14)/(J14)</f>
        <v>-17.166666666666668</v>
      </c>
      <c r="M14" s="76" t="s">
        <v>30</v>
      </c>
      <c r="N14" s="12"/>
      <c r="O14" s="55">
        <f t="shared" si="10"/>
        <v>291</v>
      </c>
      <c r="P14" s="16">
        <f t="shared" si="7"/>
        <v>-18</v>
      </c>
      <c r="Q14" s="12"/>
      <c r="R14" s="12"/>
      <c r="S14" s="12"/>
      <c r="T14" s="17">
        <v>291</v>
      </c>
      <c r="U14" s="16">
        <v>291</v>
      </c>
      <c r="V14" s="15">
        <f>SUM(T14-J14)/J14</f>
        <v>-17.166666666666668</v>
      </c>
      <c r="W14" s="12" t="s">
        <v>30</v>
      </c>
      <c r="X14" s="53">
        <v>-18</v>
      </c>
      <c r="Y14" s="123" t="s">
        <v>53</v>
      </c>
      <c r="Z14" s="17">
        <v>291</v>
      </c>
      <c r="AA14" s="88" t="s">
        <v>53</v>
      </c>
      <c r="AB14" s="12"/>
      <c r="AC14" s="16">
        <f t="shared" si="11"/>
        <v>-18</v>
      </c>
      <c r="AD14" s="16">
        <f t="shared" si="8"/>
        <v>-18</v>
      </c>
      <c r="AE14" s="16">
        <f>SUM(T14-C14)</f>
        <v>291</v>
      </c>
      <c r="AF14" s="17">
        <v>-17</v>
      </c>
      <c r="AG14" s="115">
        <v>-17</v>
      </c>
      <c r="AH14" s="12">
        <v>-17</v>
      </c>
      <c r="AI14" s="12"/>
      <c r="AJ14" s="12"/>
      <c r="AK14" s="12"/>
      <c r="AL14" s="12"/>
      <c r="AM14" s="12"/>
      <c r="AN14" s="12"/>
      <c r="AO14" s="12"/>
      <c r="AP14" s="12"/>
    </row>
    <row r="15" spans="1:42" ht="12.75">
      <c r="A15" s="134"/>
      <c r="B15" s="25" t="s">
        <v>83</v>
      </c>
      <c r="C15" s="13">
        <v>293</v>
      </c>
      <c r="D15" s="13">
        <v>246</v>
      </c>
      <c r="E15" s="13">
        <f>C15-(D15-F15)</f>
        <v>118</v>
      </c>
      <c r="F15" s="13">
        <v>71</v>
      </c>
      <c r="G15" s="14">
        <f aca="true" t="shared" si="12" ref="G15:H17">E15/C15</f>
        <v>0.40273037542662116</v>
      </c>
      <c r="H15" s="15">
        <f t="shared" si="12"/>
        <v>0.2886178861788618</v>
      </c>
      <c r="I15" s="8"/>
      <c r="J15" s="16">
        <f t="shared" si="1"/>
        <v>175</v>
      </c>
      <c r="K15" s="61">
        <v>325</v>
      </c>
      <c r="L15" s="75">
        <f>SUM(K15-J15)/(J15)</f>
        <v>0.8571428571428571</v>
      </c>
      <c r="M15" s="72">
        <f>SUM(K15-C15)/C15</f>
        <v>0.10921501706484642</v>
      </c>
      <c r="N15" s="12"/>
      <c r="O15" s="55">
        <f t="shared" si="10"/>
        <v>32</v>
      </c>
      <c r="P15" s="16">
        <f t="shared" si="7"/>
        <v>-118</v>
      </c>
      <c r="Q15" s="12"/>
      <c r="R15" s="12"/>
      <c r="S15" s="12"/>
      <c r="T15" s="17">
        <v>325</v>
      </c>
      <c r="U15" s="16">
        <v>32</v>
      </c>
      <c r="V15" s="15">
        <f>SUM(T15-J15)/J15</f>
        <v>0.8571428571428571</v>
      </c>
      <c r="W15" s="15">
        <f>SUM(T15-C15)/C15</f>
        <v>0.10921501706484642</v>
      </c>
      <c r="X15" s="52">
        <v>293</v>
      </c>
      <c r="Y15" s="122"/>
      <c r="Z15" s="17">
        <v>325</v>
      </c>
      <c r="AA15" s="87"/>
      <c r="AB15" s="12"/>
      <c r="AC15" s="16">
        <f t="shared" si="11"/>
        <v>-118</v>
      </c>
      <c r="AD15" s="16">
        <f t="shared" si="8"/>
        <v>0</v>
      </c>
      <c r="AE15" s="16">
        <f>SUM(T15-C15)</f>
        <v>32</v>
      </c>
      <c r="AF15" s="17">
        <v>246</v>
      </c>
      <c r="AG15" s="115">
        <v>-9</v>
      </c>
      <c r="AH15" s="12">
        <v>0</v>
      </c>
      <c r="AI15" s="12"/>
      <c r="AJ15" s="12"/>
      <c r="AK15" s="12"/>
      <c r="AL15" s="12"/>
      <c r="AM15" s="12"/>
      <c r="AN15" s="12"/>
      <c r="AO15" s="12"/>
      <c r="AP15" s="12"/>
    </row>
    <row r="16" spans="1:42" ht="12.75">
      <c r="A16" s="134"/>
      <c r="B16" s="25" t="s">
        <v>2</v>
      </c>
      <c r="C16" s="13">
        <v>875</v>
      </c>
      <c r="D16" s="13">
        <v>923</v>
      </c>
      <c r="E16" s="13">
        <f>C16-(D16-F16)</f>
        <v>138</v>
      </c>
      <c r="F16" s="13">
        <v>186</v>
      </c>
      <c r="G16" s="14">
        <f t="shared" si="12"/>
        <v>0.15771428571428572</v>
      </c>
      <c r="H16" s="15">
        <f t="shared" si="12"/>
        <v>0.20151679306608883</v>
      </c>
      <c r="I16" s="8"/>
      <c r="J16" s="16">
        <f t="shared" si="1"/>
        <v>737</v>
      </c>
      <c r="K16" s="65">
        <v>1001</v>
      </c>
      <c r="L16" s="72">
        <f>SUM(K16-J16)/(J16)</f>
        <v>0.3582089552238806</v>
      </c>
      <c r="M16" s="72">
        <f>SUM(K16-C16)/C16</f>
        <v>0.144</v>
      </c>
      <c r="N16" s="12"/>
      <c r="O16" s="55">
        <f t="shared" si="10"/>
        <v>126</v>
      </c>
      <c r="P16" s="16">
        <f t="shared" si="7"/>
        <v>-138</v>
      </c>
      <c r="Q16" s="12"/>
      <c r="R16" s="12"/>
      <c r="S16" s="12"/>
      <c r="T16" s="16">
        <v>1001</v>
      </c>
      <c r="U16" s="16">
        <v>126</v>
      </c>
      <c r="V16" s="15">
        <f>SUM(T16-J16)/J16</f>
        <v>0.3582089552238806</v>
      </c>
      <c r="W16" s="15">
        <f>SUM(T16-C16)/C16</f>
        <v>0.144</v>
      </c>
      <c r="X16" s="12">
        <v>754</v>
      </c>
      <c r="Y16" s="123">
        <v>573</v>
      </c>
      <c r="Z16" s="99">
        <v>1001</v>
      </c>
      <c r="AA16" s="88"/>
      <c r="AB16" s="12"/>
      <c r="AC16" s="16">
        <f t="shared" si="11"/>
        <v>-138</v>
      </c>
      <c r="AD16" s="16">
        <f t="shared" si="8"/>
        <v>-121</v>
      </c>
      <c r="AE16" s="16">
        <f>SUM(T16-C16)</f>
        <v>126</v>
      </c>
      <c r="AF16" s="17">
        <v>739</v>
      </c>
      <c r="AG16" s="115">
        <f>SUM(AF16-C16)</f>
        <v>-136</v>
      </c>
      <c r="AH16" s="151"/>
      <c r="AI16" s="12"/>
      <c r="AJ16" s="12"/>
      <c r="AK16" s="12"/>
      <c r="AL16" s="12"/>
      <c r="AM16" s="12"/>
      <c r="AN16" s="12"/>
      <c r="AO16" s="12"/>
      <c r="AP16" s="12"/>
    </row>
    <row r="17" spans="1:42" ht="12.75">
      <c r="A17" s="134"/>
      <c r="B17" s="25" t="s">
        <v>4</v>
      </c>
      <c r="C17" s="13">
        <v>70</v>
      </c>
      <c r="D17" s="13">
        <v>80</v>
      </c>
      <c r="E17" s="13">
        <v>25</v>
      </c>
      <c r="F17" s="13">
        <v>40</v>
      </c>
      <c r="G17" s="14">
        <f t="shared" si="12"/>
        <v>0.35714285714285715</v>
      </c>
      <c r="H17" s="15">
        <f t="shared" si="12"/>
        <v>0.5</v>
      </c>
      <c r="I17" s="8"/>
      <c r="J17" s="16">
        <f t="shared" si="1"/>
        <v>45</v>
      </c>
      <c r="K17" s="61">
        <v>75</v>
      </c>
      <c r="L17" s="72">
        <f>SUM(K17-J17)/(J17)</f>
        <v>0.6666666666666666</v>
      </c>
      <c r="M17" s="72">
        <f>SUM(K17-C17)/C17</f>
        <v>0.07142857142857142</v>
      </c>
      <c r="N17" s="12"/>
      <c r="O17" s="55">
        <f t="shared" si="10"/>
        <v>5</v>
      </c>
      <c r="P17" s="16">
        <f t="shared" si="7"/>
        <v>-25</v>
      </c>
      <c r="Q17" s="12"/>
      <c r="R17" s="12"/>
      <c r="S17" s="12"/>
      <c r="T17" s="17">
        <v>75</v>
      </c>
      <c r="U17" s="16">
        <v>5</v>
      </c>
      <c r="V17" s="15">
        <f>SUM(T17-J17)/J17</f>
        <v>0.6666666666666666</v>
      </c>
      <c r="W17" s="15">
        <f>SUM(T17-C17)/C17</f>
        <v>0.07142857142857142</v>
      </c>
      <c r="X17" s="52">
        <v>70</v>
      </c>
      <c r="Z17" s="101">
        <v>75</v>
      </c>
      <c r="AA17" s="95"/>
      <c r="AB17" s="12"/>
      <c r="AC17" s="16">
        <f t="shared" si="11"/>
        <v>-25</v>
      </c>
      <c r="AD17" s="16">
        <f t="shared" si="8"/>
        <v>0</v>
      </c>
      <c r="AE17" s="16">
        <f>SUM(T17-C17)</f>
        <v>5</v>
      </c>
      <c r="AF17" s="17">
        <v>45</v>
      </c>
      <c r="AG17" s="115">
        <v>-25</v>
      </c>
      <c r="AH17" s="12">
        <v>-35</v>
      </c>
      <c r="AI17" s="12"/>
      <c r="AJ17" s="12"/>
      <c r="AK17" s="12"/>
      <c r="AL17" s="12"/>
      <c r="AM17" s="12"/>
      <c r="AN17" s="12"/>
      <c r="AO17" s="12"/>
      <c r="AP17" s="12"/>
    </row>
    <row r="18" spans="1:42" ht="12.75">
      <c r="A18" s="134"/>
      <c r="B18" s="25" t="s">
        <v>8</v>
      </c>
      <c r="C18" s="10">
        <v>0</v>
      </c>
      <c r="D18" s="13"/>
      <c r="E18" s="13">
        <v>50</v>
      </c>
      <c r="F18" s="13"/>
      <c r="G18" s="14"/>
      <c r="H18" s="15"/>
      <c r="I18" s="8"/>
      <c r="J18" s="16">
        <f t="shared" si="1"/>
        <v>-50</v>
      </c>
      <c r="K18" s="61"/>
      <c r="L18" s="72"/>
      <c r="M18" s="72"/>
      <c r="N18" s="12"/>
      <c r="O18" s="55"/>
      <c r="P18" s="16">
        <f t="shared" si="7"/>
        <v>-50</v>
      </c>
      <c r="Q18" s="12"/>
      <c r="R18" s="12"/>
      <c r="S18" s="12"/>
      <c r="T18" s="10">
        <v>0</v>
      </c>
      <c r="U18" s="16"/>
      <c r="V18" s="15"/>
      <c r="W18" s="15"/>
      <c r="X18" s="10">
        <v>0</v>
      </c>
      <c r="Y18" s="149"/>
      <c r="Z18" s="17"/>
      <c r="AA18" s="95"/>
      <c r="AB18" s="12"/>
      <c r="AC18" s="16">
        <f t="shared" si="11"/>
        <v>-50</v>
      </c>
      <c r="AD18" s="10">
        <v>0</v>
      </c>
      <c r="AE18" s="10">
        <v>0</v>
      </c>
      <c r="AF18" s="12"/>
      <c r="AG18" s="115">
        <v>-50</v>
      </c>
      <c r="AH18" s="153">
        <v>0</v>
      </c>
      <c r="AI18" s="12"/>
      <c r="AJ18" s="12"/>
      <c r="AK18" s="12"/>
      <c r="AL18" s="12"/>
      <c r="AM18" s="12"/>
      <c r="AN18" s="12"/>
      <c r="AO18" s="12"/>
      <c r="AP18" s="12"/>
    </row>
    <row r="19" spans="1:42" s="172" customFormat="1" ht="12.75">
      <c r="A19" s="141"/>
      <c r="B19" s="181" t="s">
        <v>16</v>
      </c>
      <c r="C19" s="182">
        <f>SUM(C13:C17)</f>
        <v>1238</v>
      </c>
      <c r="D19" s="183">
        <f>SUM(D13:D17)</f>
        <v>1249</v>
      </c>
      <c r="E19" s="181">
        <f>SUM(E13:E18)</f>
        <v>349</v>
      </c>
      <c r="F19" s="183">
        <f>SUM(F13:F17)</f>
        <v>565</v>
      </c>
      <c r="G19" s="184">
        <f>E19/C19</f>
        <v>0.28190630048465265</v>
      </c>
      <c r="H19" s="184">
        <f>F19/D19</f>
        <v>0.45236188951160927</v>
      </c>
      <c r="I19" s="141"/>
      <c r="J19" s="183">
        <f t="shared" si="1"/>
        <v>889</v>
      </c>
      <c r="K19" s="185">
        <f>SUM(K13:K17)</f>
        <v>2242</v>
      </c>
      <c r="L19" s="186">
        <f>SUM(L13:L17)</f>
        <v>-15.284648187633264</v>
      </c>
      <c r="M19" s="186">
        <f>SUM(M13:M17)</f>
        <v>0.3246435884934178</v>
      </c>
      <c r="N19" s="181"/>
      <c r="O19" s="187">
        <f t="shared" si="10"/>
        <v>1004</v>
      </c>
      <c r="P19" s="183">
        <f t="shared" si="7"/>
        <v>-349</v>
      </c>
      <c r="Q19" s="173"/>
      <c r="R19" s="173"/>
      <c r="S19" s="173"/>
      <c r="T19" s="180">
        <v>2242</v>
      </c>
      <c r="U19" s="180">
        <v>954.5</v>
      </c>
      <c r="V19" s="188">
        <f>SUM(T19-J19)/J19</f>
        <v>1.5219347581552305</v>
      </c>
      <c r="W19" s="189">
        <f>SUM(T19-C19)/C19</f>
        <v>0.8109854604200323</v>
      </c>
      <c r="X19" s="182">
        <f>SUM(X13+X14+X15+X16+X17)</f>
        <v>1299</v>
      </c>
      <c r="Y19" s="129"/>
      <c r="Z19" s="190">
        <v>2242</v>
      </c>
      <c r="AA19" s="90"/>
      <c r="AB19" s="173"/>
      <c r="AC19" s="180">
        <f t="shared" si="11"/>
        <v>-349</v>
      </c>
      <c r="AD19" s="180">
        <f t="shared" si="8"/>
        <v>61</v>
      </c>
      <c r="AE19" s="180">
        <f>SUM(T19-C19)</f>
        <v>1004</v>
      </c>
      <c r="AF19" s="173"/>
      <c r="AG19" s="192">
        <f>SUM(AG13:AG18)</f>
        <v>-57</v>
      </c>
      <c r="AH19" s="173"/>
      <c r="AI19" s="173"/>
      <c r="AJ19" s="173"/>
      <c r="AK19" s="173"/>
      <c r="AL19" s="173"/>
      <c r="AM19" s="173"/>
      <c r="AN19" s="173"/>
      <c r="AO19" s="173"/>
      <c r="AP19" s="173"/>
    </row>
    <row r="20" spans="1:42" s="3" customFormat="1" ht="12.75">
      <c r="A20" s="142"/>
      <c r="B20" s="25"/>
      <c r="C20" s="13"/>
      <c r="D20" s="12"/>
      <c r="E20" s="12"/>
      <c r="F20" s="12"/>
      <c r="G20" s="19"/>
      <c r="H20" s="12"/>
      <c r="I20" s="23"/>
      <c r="J20" s="16"/>
      <c r="K20" s="63"/>
      <c r="L20" s="57"/>
      <c r="M20" s="57"/>
      <c r="N20" s="19"/>
      <c r="O20" s="55">
        <f t="shared" si="10"/>
        <v>0</v>
      </c>
      <c r="P20" s="16">
        <f t="shared" si="7"/>
        <v>0</v>
      </c>
      <c r="Q20" s="19"/>
      <c r="R20" s="19"/>
      <c r="S20" s="19"/>
      <c r="T20" s="80"/>
      <c r="U20" s="81">
        <v>0</v>
      </c>
      <c r="V20" s="82"/>
      <c r="W20" s="82"/>
      <c r="X20" s="82"/>
      <c r="Y20" s="123"/>
      <c r="Z20" s="44"/>
      <c r="AA20" s="88"/>
      <c r="AB20" s="19"/>
      <c r="AC20" s="82"/>
      <c r="AD20" s="82"/>
      <c r="AE20" s="82"/>
      <c r="AF20" s="82"/>
      <c r="AG20" s="117"/>
      <c r="AH20" s="19"/>
      <c r="AI20" s="19"/>
      <c r="AJ20" s="19"/>
      <c r="AK20" s="19"/>
      <c r="AL20" s="19"/>
      <c r="AM20" s="19"/>
      <c r="AN20" s="19"/>
      <c r="AO20" s="19"/>
      <c r="AP20" s="19"/>
    </row>
    <row r="21" spans="1:42" ht="12.75">
      <c r="A21" s="134"/>
      <c r="B21" s="25"/>
      <c r="C21" s="13"/>
      <c r="D21" s="12"/>
      <c r="E21" s="12"/>
      <c r="F21" s="12"/>
      <c r="G21" s="12"/>
      <c r="H21" s="12"/>
      <c r="I21" s="8"/>
      <c r="J21" s="16"/>
      <c r="K21" s="61"/>
      <c r="L21" s="77"/>
      <c r="M21" s="77"/>
      <c r="N21" s="12"/>
      <c r="O21" s="55">
        <f t="shared" si="10"/>
        <v>0</v>
      </c>
      <c r="P21" s="16">
        <f t="shared" si="7"/>
        <v>0</v>
      </c>
      <c r="Q21" s="12"/>
      <c r="R21" s="12"/>
      <c r="S21" s="12"/>
      <c r="T21" s="79"/>
      <c r="U21" s="36">
        <v>0</v>
      </c>
      <c r="V21" s="34"/>
      <c r="W21" s="34"/>
      <c r="X21" s="35"/>
      <c r="Y21" s="123"/>
      <c r="Z21" s="35"/>
      <c r="AA21" s="88"/>
      <c r="AB21" s="12"/>
      <c r="AC21" s="34"/>
      <c r="AD21" s="34"/>
      <c r="AE21" s="12"/>
      <c r="AF21" s="12"/>
      <c r="AG21" s="159"/>
      <c r="AH21" s="12"/>
      <c r="AI21" s="12"/>
      <c r="AJ21" s="12"/>
      <c r="AK21" s="12"/>
      <c r="AL21" s="12"/>
      <c r="AM21" s="12"/>
      <c r="AN21" s="12"/>
      <c r="AO21" s="12"/>
      <c r="AP21" s="12"/>
    </row>
    <row r="22" spans="1:42" s="197" customFormat="1" ht="25.5">
      <c r="A22" s="144" t="s">
        <v>86</v>
      </c>
      <c r="B22" s="172" t="s">
        <v>84</v>
      </c>
      <c r="C22" s="194">
        <v>172</v>
      </c>
      <c r="D22" s="194">
        <v>186</v>
      </c>
      <c r="E22" s="194">
        <v>33</v>
      </c>
      <c r="F22" s="194">
        <v>49</v>
      </c>
      <c r="G22" s="169">
        <f>E22/C22</f>
        <v>0.19186046511627908</v>
      </c>
      <c r="H22" s="169">
        <f>F22/D22</f>
        <v>0.26344086021505375</v>
      </c>
      <c r="I22" s="144"/>
      <c r="J22" s="168">
        <f t="shared" si="1"/>
        <v>139</v>
      </c>
      <c r="K22" s="195">
        <v>238</v>
      </c>
      <c r="L22" s="196">
        <f>SUM(K22-J22)/(J22)</f>
        <v>0.7122302158273381</v>
      </c>
      <c r="M22" s="196">
        <f>SUM(K22-C22)/C22</f>
        <v>0.38372093023255816</v>
      </c>
      <c r="N22" s="172"/>
      <c r="O22" s="170">
        <f t="shared" si="10"/>
        <v>66</v>
      </c>
      <c r="P22" s="168">
        <f t="shared" si="7"/>
        <v>-33</v>
      </c>
      <c r="Q22" s="173"/>
      <c r="R22" s="173"/>
      <c r="S22" s="173"/>
      <c r="T22" s="190">
        <v>238</v>
      </c>
      <c r="U22" s="180">
        <v>66</v>
      </c>
      <c r="V22" s="188">
        <f>SUM(T22-J22)/J22</f>
        <v>0.7122302158273381</v>
      </c>
      <c r="W22" s="189">
        <f>SUM(T22-C22)/C22</f>
        <v>0.38372093023255816</v>
      </c>
      <c r="X22" s="173">
        <v>156</v>
      </c>
      <c r="Y22" s="129" t="s">
        <v>54</v>
      </c>
      <c r="Z22" s="190">
        <v>238</v>
      </c>
      <c r="AA22" s="90" t="s">
        <v>54</v>
      </c>
      <c r="AB22" s="173"/>
      <c r="AC22" s="180">
        <f>SUM(J22-C22)</f>
        <v>-33</v>
      </c>
      <c r="AD22" s="180">
        <f aca="true" t="shared" si="13" ref="AD22:AD58">SUM(X22-C22)</f>
        <v>-16</v>
      </c>
      <c r="AE22" s="168">
        <f>SUM(T22-C22)</f>
        <v>66</v>
      </c>
      <c r="AF22" s="172">
        <v>145</v>
      </c>
      <c r="AG22" s="176">
        <v>-31</v>
      </c>
      <c r="AH22" s="173">
        <v>-45</v>
      </c>
      <c r="AI22" s="180"/>
      <c r="AJ22" s="173"/>
      <c r="AK22" s="173"/>
      <c r="AL22" s="173"/>
      <c r="AM22" s="173"/>
      <c r="AN22" s="173"/>
      <c r="AO22" s="173"/>
      <c r="AP22" s="173"/>
    </row>
    <row r="23" spans="1:42" ht="12.75">
      <c r="A23" s="134"/>
      <c r="B23" s="11"/>
      <c r="C23" s="10"/>
      <c r="D23" s="13"/>
      <c r="E23" s="12"/>
      <c r="F23" s="13"/>
      <c r="G23" s="12"/>
      <c r="H23" s="12"/>
      <c r="I23" s="8"/>
      <c r="J23" s="16"/>
      <c r="K23" s="61"/>
      <c r="L23" s="77"/>
      <c r="M23" s="77"/>
      <c r="N23" s="12"/>
      <c r="O23" s="55">
        <f t="shared" si="10"/>
        <v>0</v>
      </c>
      <c r="P23" s="16">
        <f t="shared" si="7"/>
        <v>0</v>
      </c>
      <c r="Q23" s="12"/>
      <c r="R23" s="12"/>
      <c r="S23" s="12"/>
      <c r="T23" s="43"/>
      <c r="U23" s="42">
        <v>0</v>
      </c>
      <c r="V23" s="44"/>
      <c r="W23" s="44"/>
      <c r="X23" s="44"/>
      <c r="Y23" s="123"/>
      <c r="Z23" s="44"/>
      <c r="AA23" s="88"/>
      <c r="AB23" s="12"/>
      <c r="AC23" s="44"/>
      <c r="AD23" s="42">
        <f t="shared" si="13"/>
        <v>0</v>
      </c>
      <c r="AE23" s="44"/>
      <c r="AF23" s="44"/>
      <c r="AG23" s="118"/>
      <c r="AH23" s="12"/>
      <c r="AI23" s="12"/>
      <c r="AJ23" s="12"/>
      <c r="AK23" s="12"/>
      <c r="AL23" s="12"/>
      <c r="AM23" s="12"/>
      <c r="AN23" s="12"/>
      <c r="AO23" s="12"/>
      <c r="AP23" s="12"/>
    </row>
    <row r="24" spans="1:42" ht="12.75">
      <c r="A24" s="134"/>
      <c r="B24" s="11"/>
      <c r="C24" s="10"/>
      <c r="D24" s="13"/>
      <c r="E24" s="12"/>
      <c r="F24" s="13"/>
      <c r="G24" s="12"/>
      <c r="H24" s="12"/>
      <c r="I24" s="8"/>
      <c r="J24" s="16"/>
      <c r="K24" s="61"/>
      <c r="L24" s="77"/>
      <c r="M24" s="77"/>
      <c r="N24" s="12"/>
      <c r="O24" s="55">
        <f t="shared" si="10"/>
        <v>0</v>
      </c>
      <c r="P24" s="16">
        <f t="shared" si="7"/>
        <v>0</v>
      </c>
      <c r="Q24" s="12"/>
      <c r="R24" s="12"/>
      <c r="S24" s="12"/>
      <c r="T24" s="79"/>
      <c r="U24" s="36">
        <v>0</v>
      </c>
      <c r="V24" s="34"/>
      <c r="W24" s="34"/>
      <c r="X24" s="34"/>
      <c r="Y24" s="123"/>
      <c r="Z24" s="17"/>
      <c r="AA24" s="88"/>
      <c r="AB24" s="12"/>
      <c r="AC24" s="34"/>
      <c r="AD24" s="36">
        <f t="shared" si="13"/>
        <v>0</v>
      </c>
      <c r="AE24" s="12"/>
      <c r="AF24" s="12"/>
      <c r="AG24" s="159"/>
      <c r="AH24" s="12"/>
      <c r="AI24" s="12"/>
      <c r="AJ24" s="12"/>
      <c r="AK24" s="12"/>
      <c r="AL24" s="12"/>
      <c r="AM24" s="12"/>
      <c r="AN24" s="12"/>
      <c r="AO24" s="12"/>
      <c r="AP24" s="12"/>
    </row>
    <row r="25" spans="1:42" s="197" customFormat="1" ht="25.5">
      <c r="A25" s="144" t="s">
        <v>40</v>
      </c>
      <c r="B25" s="227" t="s">
        <v>87</v>
      </c>
      <c r="C25" s="194">
        <v>40</v>
      </c>
      <c r="D25" s="193">
        <v>85</v>
      </c>
      <c r="E25" s="199">
        <v>40</v>
      </c>
      <c r="F25" s="199">
        <v>85</v>
      </c>
      <c r="G25" s="200">
        <f>E25/C25</f>
        <v>1</v>
      </c>
      <c r="H25" s="200">
        <f>F25/D25</f>
        <v>1</v>
      </c>
      <c r="I25" s="198"/>
      <c r="J25" s="201">
        <f t="shared" si="1"/>
        <v>0</v>
      </c>
      <c r="K25" s="202">
        <v>61</v>
      </c>
      <c r="L25" s="203">
        <v>0</v>
      </c>
      <c r="M25" s="204">
        <f>SUM(K25-C25)/C25</f>
        <v>0.525</v>
      </c>
      <c r="N25" s="193"/>
      <c r="O25" s="205">
        <f t="shared" si="10"/>
        <v>21</v>
      </c>
      <c r="P25" s="201">
        <f t="shared" si="7"/>
        <v>-40</v>
      </c>
      <c r="Q25" s="173"/>
      <c r="R25" s="173"/>
      <c r="S25" s="173"/>
      <c r="T25" s="190">
        <v>61</v>
      </c>
      <c r="U25" s="180">
        <v>21</v>
      </c>
      <c r="V25" s="180">
        <v>0</v>
      </c>
      <c r="W25" s="188">
        <f>SUM(T25-C25)/C25</f>
        <v>0.525</v>
      </c>
      <c r="X25" s="173">
        <v>40</v>
      </c>
      <c r="Y25" s="206" t="s">
        <v>61</v>
      </c>
      <c r="Z25" s="193">
        <v>61</v>
      </c>
      <c r="AA25" s="207" t="s">
        <v>61</v>
      </c>
      <c r="AB25" s="173"/>
      <c r="AC25" s="180">
        <f>SUM(J25-C25)</f>
        <v>-40</v>
      </c>
      <c r="AD25" s="180">
        <f t="shared" si="13"/>
        <v>0</v>
      </c>
      <c r="AE25" s="201">
        <f>SUM(T25-C25)</f>
        <v>21</v>
      </c>
      <c r="AF25" s="193"/>
      <c r="AG25" s="208">
        <v>-40</v>
      </c>
      <c r="AH25" s="173">
        <v>-85</v>
      </c>
      <c r="AI25" s="173"/>
      <c r="AJ25" s="173"/>
      <c r="AK25" s="173"/>
      <c r="AL25" s="173"/>
      <c r="AM25" s="173"/>
      <c r="AN25" s="173"/>
      <c r="AO25" s="173"/>
      <c r="AP25" s="173"/>
    </row>
    <row r="26" spans="1:42" s="5" customFormat="1" ht="12.75" hidden="1">
      <c r="A26" s="141"/>
      <c r="B26" s="51" t="s">
        <v>16</v>
      </c>
      <c r="C26" s="47">
        <f>SUM(C25:C25)</f>
        <v>40</v>
      </c>
      <c r="D26" s="35">
        <f>SUM(D25:D25)</f>
        <v>85</v>
      </c>
      <c r="E26" s="48">
        <f>SUM(E25:E25)</f>
        <v>40</v>
      </c>
      <c r="F26" s="48">
        <f>SUM(F25:F25)</f>
        <v>85</v>
      </c>
      <c r="G26" s="49">
        <f>E26/C26</f>
        <v>1</v>
      </c>
      <c r="H26" s="49">
        <f>F26/D26</f>
        <v>1</v>
      </c>
      <c r="I26" s="33"/>
      <c r="J26" s="48">
        <f t="shared" si="1"/>
        <v>0</v>
      </c>
      <c r="K26" s="62">
        <f>SUM(K25:K25)</f>
        <v>61</v>
      </c>
      <c r="L26" s="62">
        <f>SUM(L25:L25)</f>
        <v>0</v>
      </c>
      <c r="M26" s="73">
        <f>SUM(M25:M25)</f>
        <v>0.525</v>
      </c>
      <c r="N26" s="35"/>
      <c r="O26" s="103">
        <f t="shared" si="10"/>
        <v>21</v>
      </c>
      <c r="P26" s="48">
        <f t="shared" si="7"/>
        <v>-40</v>
      </c>
      <c r="Q26" s="19"/>
      <c r="R26" s="19"/>
      <c r="S26" s="19"/>
      <c r="T26" s="21">
        <v>61</v>
      </c>
      <c r="U26" s="21">
        <v>21</v>
      </c>
      <c r="V26" s="21">
        <v>0</v>
      </c>
      <c r="W26" s="71">
        <v>0.525</v>
      </c>
      <c r="X26" s="19">
        <f>X25</f>
        <v>40</v>
      </c>
      <c r="Y26" s="123"/>
      <c r="Z26" s="24">
        <v>61</v>
      </c>
      <c r="AA26" s="88"/>
      <c r="AB26" s="19"/>
      <c r="AC26" s="21">
        <f>SUM(J26-C26)</f>
        <v>-40</v>
      </c>
      <c r="AD26" s="21">
        <f t="shared" si="13"/>
        <v>0</v>
      </c>
      <c r="AE26" s="21">
        <f>SUM(T26-C26)</f>
        <v>21</v>
      </c>
      <c r="AF26" s="19"/>
      <c r="AG26" s="166">
        <v>-40</v>
      </c>
      <c r="AH26" s="19"/>
      <c r="AI26" s="19"/>
      <c r="AJ26" s="19"/>
      <c r="AK26" s="19"/>
      <c r="AL26" s="19"/>
      <c r="AM26" s="19"/>
      <c r="AN26" s="19"/>
      <c r="AO26" s="19"/>
      <c r="AP26" s="19"/>
    </row>
    <row r="27" spans="1:42" s="3" customFormat="1" ht="12.75">
      <c r="A27" s="142"/>
      <c r="B27" s="29"/>
      <c r="C27" s="20"/>
      <c r="D27" s="19"/>
      <c r="E27" s="21"/>
      <c r="F27" s="21"/>
      <c r="G27" s="19"/>
      <c r="H27" s="19"/>
      <c r="I27" s="23"/>
      <c r="J27" s="16"/>
      <c r="K27" s="63"/>
      <c r="L27" s="57"/>
      <c r="M27" s="57"/>
      <c r="N27" s="19"/>
      <c r="O27" s="55">
        <f t="shared" si="10"/>
        <v>0</v>
      </c>
      <c r="P27" s="16">
        <f t="shared" si="7"/>
        <v>0</v>
      </c>
      <c r="Q27" s="19"/>
      <c r="R27" s="19"/>
      <c r="S27" s="19"/>
      <c r="T27" s="80"/>
      <c r="U27" s="81">
        <v>0</v>
      </c>
      <c r="V27" s="82"/>
      <c r="W27" s="82"/>
      <c r="X27" s="82"/>
      <c r="Y27" s="123"/>
      <c r="Z27" s="44"/>
      <c r="AA27" s="88"/>
      <c r="AB27" s="19"/>
      <c r="AC27" s="82"/>
      <c r="AD27" s="42"/>
      <c r="AE27" s="82"/>
      <c r="AF27" s="82"/>
      <c r="AG27" s="117"/>
      <c r="AH27" s="19"/>
      <c r="AI27" s="19"/>
      <c r="AJ27" s="19"/>
      <c r="AK27" s="19"/>
      <c r="AL27" s="19"/>
      <c r="AM27" s="19"/>
      <c r="AN27" s="19"/>
      <c r="AO27" s="19"/>
      <c r="AP27" s="19"/>
    </row>
    <row r="28" spans="1:42" s="3" customFormat="1" ht="12.75">
      <c r="A28" s="142"/>
      <c r="B28" s="25"/>
      <c r="C28" s="13"/>
      <c r="D28" s="12"/>
      <c r="E28" s="12"/>
      <c r="F28" s="12"/>
      <c r="G28" s="19"/>
      <c r="H28" s="12"/>
      <c r="I28" s="23"/>
      <c r="J28" s="16"/>
      <c r="K28" s="63"/>
      <c r="L28" s="57"/>
      <c r="M28" s="57"/>
      <c r="N28" s="19"/>
      <c r="O28" s="55">
        <f t="shared" si="10"/>
        <v>0</v>
      </c>
      <c r="P28" s="16">
        <f t="shared" si="7"/>
        <v>0</v>
      </c>
      <c r="Q28" s="19"/>
      <c r="R28" s="19"/>
      <c r="S28" s="19"/>
      <c r="T28" s="37"/>
      <c r="U28" s="48">
        <v>0</v>
      </c>
      <c r="V28" s="35"/>
      <c r="W28" s="35"/>
      <c r="X28" s="19"/>
      <c r="Y28" s="123"/>
      <c r="Z28" s="35"/>
      <c r="AA28" s="88"/>
      <c r="AB28" s="19"/>
      <c r="AC28" s="35"/>
      <c r="AD28" s="36"/>
      <c r="AE28" s="35"/>
      <c r="AF28" s="35"/>
      <c r="AG28" s="119"/>
      <c r="AH28" s="19"/>
      <c r="AI28" s="19"/>
      <c r="AJ28" s="19"/>
      <c r="AK28" s="19"/>
      <c r="AL28" s="19"/>
      <c r="AM28" s="19"/>
      <c r="AN28" s="19"/>
      <c r="AO28" s="19"/>
      <c r="AP28" s="19"/>
    </row>
    <row r="29" spans="1:42" ht="12.75">
      <c r="A29" s="143" t="s">
        <v>17</v>
      </c>
      <c r="B29" s="98" t="s">
        <v>103</v>
      </c>
      <c r="C29" s="50">
        <v>584</v>
      </c>
      <c r="D29" s="44">
        <v>1025</v>
      </c>
      <c r="E29" s="39">
        <v>151.6</v>
      </c>
      <c r="F29" s="39">
        <v>202</v>
      </c>
      <c r="G29" s="40">
        <f>E29/C29</f>
        <v>0.2595890410958904</v>
      </c>
      <c r="H29" s="40">
        <f>F29/D29</f>
        <v>0.19707317073170733</v>
      </c>
      <c r="I29" s="38"/>
      <c r="J29" s="42">
        <f t="shared" si="1"/>
        <v>432.4</v>
      </c>
      <c r="K29" s="67">
        <v>0</v>
      </c>
      <c r="L29" s="74">
        <f>SUM(K29-J29)/(J29)</f>
        <v>-1</v>
      </c>
      <c r="M29" s="74">
        <f>SUM(K29-C29)/C29</f>
        <v>-1</v>
      </c>
      <c r="N29" s="44"/>
      <c r="O29" s="58">
        <f t="shared" si="10"/>
        <v>-584</v>
      </c>
      <c r="P29" s="42">
        <f t="shared" si="7"/>
        <v>-151.60000000000002</v>
      </c>
      <c r="Q29" s="12"/>
      <c r="R29" s="12"/>
      <c r="S29" s="12"/>
      <c r="T29" s="17">
        <v>0</v>
      </c>
      <c r="U29" s="16">
        <v>-584</v>
      </c>
      <c r="V29" s="15">
        <f>SUM(T29-J29)/J29</f>
        <v>-1</v>
      </c>
      <c r="W29" s="15">
        <f>SUM(T29-C29)/C29</f>
        <v>-1</v>
      </c>
      <c r="X29" s="84">
        <v>584</v>
      </c>
      <c r="Y29" s="127" t="s">
        <v>63</v>
      </c>
      <c r="Z29" s="102">
        <v>0</v>
      </c>
      <c r="AA29" s="92" t="s">
        <v>63</v>
      </c>
      <c r="AB29" s="12"/>
      <c r="AC29" s="16">
        <f aca="true" t="shared" si="14" ref="AC29:AC58">SUM(J29-C29)</f>
        <v>-151.60000000000002</v>
      </c>
      <c r="AD29" s="16">
        <f t="shared" si="13"/>
        <v>0</v>
      </c>
      <c r="AE29" s="42">
        <f>SUM(T29-C29)</f>
        <v>-584</v>
      </c>
      <c r="AF29" s="44"/>
      <c r="AG29" s="230">
        <v>-78</v>
      </c>
      <c r="AH29" s="12">
        <v>-128</v>
      </c>
      <c r="AI29" s="12"/>
      <c r="AJ29" s="12"/>
      <c r="AK29" s="12"/>
      <c r="AL29" s="12"/>
      <c r="AM29" s="12"/>
      <c r="AN29" s="12"/>
      <c r="AO29" s="12"/>
      <c r="AP29" s="12"/>
    </row>
    <row r="30" spans="1:42" ht="12.75">
      <c r="A30" s="134"/>
      <c r="B30" s="11" t="s">
        <v>104</v>
      </c>
      <c r="C30" s="10">
        <v>2500</v>
      </c>
      <c r="D30" s="12">
        <v>1000</v>
      </c>
      <c r="E30" s="13">
        <v>2500</v>
      </c>
      <c r="F30" s="13">
        <v>1000</v>
      </c>
      <c r="G30" s="14">
        <f aca="true" t="shared" si="15" ref="G30:G35">E30/C30</f>
        <v>1</v>
      </c>
      <c r="H30" s="14">
        <f aca="true" t="shared" si="16" ref="H30:H35">F30/D30</f>
        <v>1</v>
      </c>
      <c r="I30" s="8"/>
      <c r="J30" s="16">
        <v>0</v>
      </c>
      <c r="K30" s="61">
        <v>8309</v>
      </c>
      <c r="L30" s="72"/>
      <c r="M30" s="72">
        <f>SUM(K30-C30)/C30</f>
        <v>2.3236</v>
      </c>
      <c r="N30" s="12"/>
      <c r="O30" s="55">
        <f t="shared" si="10"/>
        <v>5809</v>
      </c>
      <c r="P30" s="16">
        <f t="shared" si="7"/>
        <v>-2500</v>
      </c>
      <c r="Q30" s="12"/>
      <c r="R30" s="12"/>
      <c r="S30" s="12"/>
      <c r="T30" s="17">
        <v>8309</v>
      </c>
      <c r="U30" s="16">
        <v>5809</v>
      </c>
      <c r="V30" s="15"/>
      <c r="W30" s="15">
        <f>SUM(T30-C30)/C30</f>
        <v>2.3236</v>
      </c>
      <c r="X30" s="17">
        <v>1000</v>
      </c>
      <c r="Y30" s="123" t="s">
        <v>55</v>
      </c>
      <c r="Z30" s="17">
        <v>8309</v>
      </c>
      <c r="AA30" s="88" t="s">
        <v>55</v>
      </c>
      <c r="AB30" s="12"/>
      <c r="AC30" s="16">
        <f t="shared" si="14"/>
        <v>-2500</v>
      </c>
      <c r="AD30" s="16">
        <f t="shared" si="13"/>
        <v>-1500</v>
      </c>
      <c r="AE30" s="16">
        <f>SUM(T30-C30)</f>
        <v>5809</v>
      </c>
      <c r="AF30" s="12">
        <v>0</v>
      </c>
      <c r="AG30" s="115">
        <v>-2500</v>
      </c>
      <c r="AH30" s="151"/>
      <c r="AI30" s="25"/>
      <c r="AJ30" s="12"/>
      <c r="AK30" s="12"/>
      <c r="AL30" s="12"/>
      <c r="AM30" s="12"/>
      <c r="AN30" s="12"/>
      <c r="AO30" s="12"/>
      <c r="AP30" s="12"/>
    </row>
    <row r="31" spans="1:42" ht="12.75">
      <c r="A31" s="134"/>
      <c r="B31" s="11" t="s">
        <v>105</v>
      </c>
      <c r="C31" s="10">
        <v>150</v>
      </c>
      <c r="D31" s="12">
        <v>150</v>
      </c>
      <c r="E31" s="13">
        <v>150</v>
      </c>
      <c r="F31" s="13">
        <v>150</v>
      </c>
      <c r="G31" s="14">
        <f t="shared" si="15"/>
        <v>1</v>
      </c>
      <c r="H31" s="14">
        <f t="shared" si="16"/>
        <v>1</v>
      </c>
      <c r="I31" s="8"/>
      <c r="J31" s="16">
        <f t="shared" si="1"/>
        <v>0</v>
      </c>
      <c r="K31" s="61">
        <v>150</v>
      </c>
      <c r="L31" s="66">
        <v>0</v>
      </c>
      <c r="M31" s="72">
        <f>SUM(K31-C31)/C31</f>
        <v>0</v>
      </c>
      <c r="N31" s="12"/>
      <c r="O31" s="55">
        <f t="shared" si="10"/>
        <v>0</v>
      </c>
      <c r="P31" s="16">
        <f t="shared" si="7"/>
        <v>-150</v>
      </c>
      <c r="Q31" s="12"/>
      <c r="R31" s="12"/>
      <c r="S31" s="12"/>
      <c r="T31" s="17">
        <v>150</v>
      </c>
      <c r="U31" s="16">
        <v>0</v>
      </c>
      <c r="V31" s="16">
        <v>0</v>
      </c>
      <c r="W31" s="15">
        <f>SUM(T31-C31)/C31</f>
        <v>0</v>
      </c>
      <c r="X31" s="25">
        <v>150</v>
      </c>
      <c r="Y31" s="123" t="s">
        <v>64</v>
      </c>
      <c r="Z31" s="17">
        <v>150</v>
      </c>
      <c r="AA31" s="88" t="s">
        <v>64</v>
      </c>
      <c r="AB31" s="12"/>
      <c r="AC31" s="16">
        <f t="shared" si="14"/>
        <v>-150</v>
      </c>
      <c r="AD31" s="16">
        <f t="shared" si="13"/>
        <v>0</v>
      </c>
      <c r="AE31" s="16">
        <f>SUM(T31-C31)</f>
        <v>0</v>
      </c>
      <c r="AF31" s="12"/>
      <c r="AG31" s="115">
        <v>0</v>
      </c>
      <c r="AH31" s="12"/>
      <c r="AI31" s="12"/>
      <c r="AJ31" s="12"/>
      <c r="AK31" s="12"/>
      <c r="AL31" s="12"/>
      <c r="AM31" s="12"/>
      <c r="AN31" s="12"/>
      <c r="AO31" s="12"/>
      <c r="AP31" s="12"/>
    </row>
    <row r="32" spans="1:42" ht="25.5">
      <c r="A32" s="134"/>
      <c r="B32" s="11" t="s">
        <v>106</v>
      </c>
      <c r="C32" s="16">
        <v>0</v>
      </c>
      <c r="D32" s="12"/>
      <c r="E32" s="13">
        <v>2500</v>
      </c>
      <c r="F32" s="13"/>
      <c r="G32" s="14"/>
      <c r="H32" s="14"/>
      <c r="I32" s="8"/>
      <c r="J32" s="16">
        <f t="shared" si="1"/>
        <v>-2500</v>
      </c>
      <c r="K32" s="61"/>
      <c r="L32" s="66"/>
      <c r="M32" s="72"/>
      <c r="N32" s="12"/>
      <c r="O32" s="55"/>
      <c r="P32" s="16"/>
      <c r="Q32" s="12"/>
      <c r="R32" s="12"/>
      <c r="S32" s="12"/>
      <c r="T32" s="16">
        <v>0</v>
      </c>
      <c r="U32" s="16"/>
      <c r="V32" s="16"/>
      <c r="W32" s="15"/>
      <c r="X32" s="16">
        <v>0</v>
      </c>
      <c r="Y32" s="123"/>
      <c r="Z32" s="17"/>
      <c r="AA32" s="88"/>
      <c r="AB32" s="12"/>
      <c r="AC32" s="16">
        <v>0</v>
      </c>
      <c r="AD32" s="16">
        <v>0</v>
      </c>
      <c r="AE32" s="16">
        <v>0</v>
      </c>
      <c r="AF32" s="25"/>
      <c r="AG32" s="115">
        <v>0</v>
      </c>
      <c r="AH32" s="115">
        <v>0</v>
      </c>
      <c r="AI32" s="12"/>
      <c r="AJ32" s="12"/>
      <c r="AK32" s="12"/>
      <c r="AL32" s="12"/>
      <c r="AM32" s="12"/>
      <c r="AN32" s="12"/>
      <c r="AO32" s="12"/>
      <c r="AP32" s="12"/>
    </row>
    <row r="33" spans="1:42" ht="25.5">
      <c r="A33" s="134"/>
      <c r="B33" s="11" t="s">
        <v>107</v>
      </c>
      <c r="C33" s="52">
        <v>1.9</v>
      </c>
      <c r="D33" s="25"/>
      <c r="E33" s="52">
        <v>1.9</v>
      </c>
      <c r="F33" s="52"/>
      <c r="G33" s="28">
        <f t="shared" si="15"/>
        <v>1</v>
      </c>
      <c r="H33" s="28"/>
      <c r="I33" s="9"/>
      <c r="J33" s="53">
        <f t="shared" si="1"/>
        <v>0</v>
      </c>
      <c r="K33" s="68">
        <v>100</v>
      </c>
      <c r="L33" s="78">
        <v>0</v>
      </c>
      <c r="M33" s="75">
        <f>SUM(K33-C33)/C33</f>
        <v>51.63157894736842</v>
      </c>
      <c r="N33" s="25" t="s">
        <v>36</v>
      </c>
      <c r="O33" s="59">
        <f t="shared" si="10"/>
        <v>98.1</v>
      </c>
      <c r="P33" s="16">
        <f t="shared" si="7"/>
        <v>-1.9</v>
      </c>
      <c r="Q33" s="12"/>
      <c r="R33" s="12"/>
      <c r="S33" s="12"/>
      <c r="T33" s="17">
        <v>100</v>
      </c>
      <c r="U33" s="16">
        <v>98.1</v>
      </c>
      <c r="V33" s="16">
        <v>0</v>
      </c>
      <c r="W33" s="15">
        <f>SUM(T33-C33)/C33</f>
        <v>51.63157894736842</v>
      </c>
      <c r="X33" s="25">
        <v>2</v>
      </c>
      <c r="Y33" s="123"/>
      <c r="Z33" s="17">
        <v>100</v>
      </c>
      <c r="AA33" s="94"/>
      <c r="AB33" s="12"/>
      <c r="AC33" s="16">
        <f t="shared" si="14"/>
        <v>-1.9</v>
      </c>
      <c r="AD33" s="16">
        <f t="shared" si="13"/>
        <v>0.10000000000000009</v>
      </c>
      <c r="AE33" s="16">
        <f>SUM(T33-C33)</f>
        <v>98.1</v>
      </c>
      <c r="AF33" s="158"/>
      <c r="AG33" s="115">
        <v>-0.1</v>
      </c>
      <c r="AH33" s="151"/>
      <c r="AI33" s="25" t="s">
        <v>73</v>
      </c>
      <c r="AJ33" s="12"/>
      <c r="AK33" s="12"/>
      <c r="AL33" s="12"/>
      <c r="AM33" s="12"/>
      <c r="AN33" s="12"/>
      <c r="AO33" s="12"/>
      <c r="AP33" s="12"/>
    </row>
    <row r="34" spans="1:42" ht="12.75">
      <c r="A34" s="134"/>
      <c r="B34" s="11" t="s">
        <v>98</v>
      </c>
      <c r="C34" s="52">
        <v>169</v>
      </c>
      <c r="D34" s="25"/>
      <c r="E34" s="52">
        <v>57</v>
      </c>
      <c r="F34" s="52"/>
      <c r="G34" s="28">
        <f t="shared" si="15"/>
        <v>0.33727810650887574</v>
      </c>
      <c r="H34" s="28"/>
      <c r="I34" s="9"/>
      <c r="J34" s="16">
        <f t="shared" si="1"/>
        <v>112</v>
      </c>
      <c r="K34" s="68"/>
      <c r="L34" s="78"/>
      <c r="M34" s="75"/>
      <c r="N34" s="25"/>
      <c r="O34" s="59"/>
      <c r="P34" s="16"/>
      <c r="Q34" s="12"/>
      <c r="R34" s="12"/>
      <c r="S34" s="12"/>
      <c r="T34" s="17">
        <v>308</v>
      </c>
      <c r="U34" s="16">
        <v>139</v>
      </c>
      <c r="V34" s="16"/>
      <c r="W34" s="15"/>
      <c r="X34" s="25">
        <v>286</v>
      </c>
      <c r="Y34" s="123"/>
      <c r="Z34" s="17">
        <v>308</v>
      </c>
      <c r="AA34" s="94"/>
      <c r="AB34" s="12"/>
      <c r="AC34" s="16">
        <f t="shared" si="14"/>
        <v>-57</v>
      </c>
      <c r="AD34" s="16">
        <f t="shared" si="13"/>
        <v>117</v>
      </c>
      <c r="AE34" s="16">
        <f>SUM(T34-C34)</f>
        <v>139</v>
      </c>
      <c r="AF34" s="17">
        <v>203</v>
      </c>
      <c r="AG34" s="231">
        <f>SUM(AF34-C34)</f>
        <v>34</v>
      </c>
      <c r="AH34" s="151"/>
      <c r="AI34" s="12"/>
      <c r="AJ34" s="12"/>
      <c r="AK34" s="12"/>
      <c r="AL34" s="12"/>
      <c r="AM34" s="12"/>
      <c r="AN34" s="12"/>
      <c r="AO34" s="12"/>
      <c r="AP34" s="12"/>
    </row>
    <row r="35" spans="1:42" ht="25.5">
      <c r="A35" s="134"/>
      <c r="B35" s="11" t="s">
        <v>13</v>
      </c>
      <c r="C35" s="10">
        <v>20</v>
      </c>
      <c r="D35" s="13">
        <v>10</v>
      </c>
      <c r="E35" s="13">
        <v>10</v>
      </c>
      <c r="F35" s="13">
        <v>10</v>
      </c>
      <c r="G35" s="14">
        <f t="shared" si="15"/>
        <v>0.5</v>
      </c>
      <c r="H35" s="14">
        <f t="shared" si="16"/>
        <v>1</v>
      </c>
      <c r="I35" s="8"/>
      <c r="J35" s="16">
        <f t="shared" si="1"/>
        <v>10</v>
      </c>
      <c r="K35" s="61">
        <v>6</v>
      </c>
      <c r="L35" s="72">
        <f>SUM(K35-J35)/(J35)</f>
        <v>-0.4</v>
      </c>
      <c r="M35" s="72">
        <f>SUM(K35-C35)/C35</f>
        <v>-0.7</v>
      </c>
      <c r="N35" s="12"/>
      <c r="O35" s="55">
        <f t="shared" si="10"/>
        <v>-14</v>
      </c>
      <c r="P35" s="16">
        <f t="shared" si="7"/>
        <v>-10</v>
      </c>
      <c r="Q35" s="12"/>
      <c r="R35" s="12"/>
      <c r="S35" s="12"/>
      <c r="T35" s="17">
        <v>6</v>
      </c>
      <c r="U35" s="16">
        <v>-14</v>
      </c>
      <c r="V35" s="15">
        <f>SUM(T35-J35)/J35</f>
        <v>-0.4</v>
      </c>
      <c r="W35" s="15">
        <f>SUM(T35-C35)/C35</f>
        <v>-0.7</v>
      </c>
      <c r="X35" s="12">
        <v>9.9</v>
      </c>
      <c r="Y35" s="123" t="s">
        <v>56</v>
      </c>
      <c r="Z35" s="17">
        <v>6</v>
      </c>
      <c r="AA35" s="88" t="s">
        <v>56</v>
      </c>
      <c r="AB35" s="12"/>
      <c r="AC35" s="16">
        <f t="shared" si="14"/>
        <v>-10</v>
      </c>
      <c r="AD35" s="16">
        <f t="shared" si="13"/>
        <v>-10.1</v>
      </c>
      <c r="AE35" s="16">
        <f>SUM(T35-C35)</f>
        <v>-14</v>
      </c>
      <c r="AF35" s="12"/>
      <c r="AG35" s="115">
        <v>-10</v>
      </c>
      <c r="AH35" s="25">
        <v>0</v>
      </c>
      <c r="AI35" s="12"/>
      <c r="AJ35" s="12"/>
      <c r="AK35" s="12"/>
      <c r="AL35" s="12"/>
      <c r="AM35" s="12"/>
      <c r="AN35" s="12"/>
      <c r="AO35" s="12"/>
      <c r="AP35" s="12"/>
    </row>
    <row r="36" spans="1:42" ht="12.75" hidden="1">
      <c r="A36" s="134"/>
      <c r="B36" s="11"/>
      <c r="C36" s="10"/>
      <c r="D36" s="13"/>
      <c r="E36" s="13"/>
      <c r="F36" s="13"/>
      <c r="G36" s="14"/>
      <c r="H36" s="14"/>
      <c r="I36" s="8"/>
      <c r="J36" s="16"/>
      <c r="K36" s="61"/>
      <c r="L36" s="72"/>
      <c r="M36" s="72"/>
      <c r="N36" s="12"/>
      <c r="O36" s="55"/>
      <c r="P36" s="16"/>
      <c r="Q36" s="12"/>
      <c r="R36" s="12"/>
      <c r="S36" s="12"/>
      <c r="T36" s="17"/>
      <c r="U36" s="16"/>
      <c r="V36" s="15"/>
      <c r="W36" s="15"/>
      <c r="Y36" s="123"/>
      <c r="Z36" s="17"/>
      <c r="AA36" s="88"/>
      <c r="AB36" s="12"/>
      <c r="AC36" s="16">
        <f t="shared" si="14"/>
        <v>0</v>
      </c>
      <c r="AD36" s="16">
        <f t="shared" si="13"/>
        <v>0</v>
      </c>
      <c r="AE36" s="16">
        <f>SUM(T36-C36)</f>
        <v>0</v>
      </c>
      <c r="AF36" s="12"/>
      <c r="AG36" s="159"/>
      <c r="AH36" s="12"/>
      <c r="AI36" s="12"/>
      <c r="AJ36" s="12"/>
      <c r="AK36" s="12"/>
      <c r="AL36" s="12"/>
      <c r="AM36" s="12"/>
      <c r="AN36" s="12"/>
      <c r="AO36" s="12"/>
      <c r="AP36" s="12"/>
    </row>
    <row r="37" spans="1:42" s="172" customFormat="1" ht="12.75">
      <c r="A37" s="141"/>
      <c r="B37" s="209" t="s">
        <v>16</v>
      </c>
      <c r="C37" s="182">
        <f>SUM(C29:C35)</f>
        <v>3424.9</v>
      </c>
      <c r="D37" s="181">
        <f>SUM(D29:D35)</f>
        <v>2185</v>
      </c>
      <c r="E37" s="183">
        <f>SUM(E29:E35)</f>
        <v>5370.5</v>
      </c>
      <c r="F37" s="226">
        <f>SUM(F29:F35)</f>
        <v>1362</v>
      </c>
      <c r="G37" s="184">
        <f>E37/C37</f>
        <v>1.5680749802913954</v>
      </c>
      <c r="H37" s="184">
        <f>F37/D37</f>
        <v>0.6233409610983982</v>
      </c>
      <c r="I37" s="141"/>
      <c r="J37" s="183">
        <f aca="true" t="shared" si="17" ref="J37:J55">SUM(C37-E37)</f>
        <v>-1945.6</v>
      </c>
      <c r="K37" s="185">
        <f>SUM(K29:K35)</f>
        <v>8565</v>
      </c>
      <c r="L37" s="186">
        <f>SUM(L29:L35)</f>
        <v>-1.4</v>
      </c>
      <c r="M37" s="186">
        <f>SUM(M29:M35)</f>
        <v>52.255178947368414</v>
      </c>
      <c r="N37" s="181"/>
      <c r="O37" s="187">
        <f aca="true" t="shared" si="18" ref="O37:O56">SUM(K37-C37)</f>
        <v>5140.1</v>
      </c>
      <c r="P37" s="183">
        <f t="shared" si="7"/>
        <v>-5370.5</v>
      </c>
      <c r="Q37" s="173"/>
      <c r="R37" s="173"/>
      <c r="S37" s="173"/>
      <c r="T37" s="180">
        <v>8565</v>
      </c>
      <c r="U37" s="180">
        <v>309.10000000000036</v>
      </c>
      <c r="V37" s="188">
        <f>SUM(T37-J37)/J37</f>
        <v>-5.402240953947369</v>
      </c>
      <c r="W37" s="189">
        <f>SUM(T37-C37)/C37</f>
        <v>1.500802943151625</v>
      </c>
      <c r="X37" s="190">
        <f>SUM(X29+X30+X31+X33+X35)</f>
        <v>1745.9</v>
      </c>
      <c r="Y37" s="129"/>
      <c r="Z37" s="190">
        <v>8565</v>
      </c>
      <c r="AA37" s="90"/>
      <c r="AB37" s="173"/>
      <c r="AC37" s="180">
        <f t="shared" si="14"/>
        <v>-5370.5</v>
      </c>
      <c r="AD37" s="180">
        <f t="shared" si="13"/>
        <v>-1679</v>
      </c>
      <c r="AE37" s="180">
        <f>SUM(T37-C37)</f>
        <v>5140.1</v>
      </c>
      <c r="AF37" s="173"/>
      <c r="AG37" s="192">
        <f>SUM(AG29:AG35)</f>
        <v>-2554.1</v>
      </c>
      <c r="AH37" s="173"/>
      <c r="AI37" s="173"/>
      <c r="AJ37" s="173"/>
      <c r="AK37" s="173"/>
      <c r="AL37" s="173"/>
      <c r="AM37" s="173"/>
      <c r="AN37" s="173"/>
      <c r="AO37" s="173"/>
      <c r="AP37" s="173"/>
    </row>
    <row r="38" spans="1:42" ht="12.75">
      <c r="A38" s="134"/>
      <c r="B38" s="25"/>
      <c r="C38" s="148"/>
      <c r="D38" s="4"/>
      <c r="E38" s="12"/>
      <c r="F38" s="12"/>
      <c r="G38" s="12"/>
      <c r="H38" s="12"/>
      <c r="I38" s="8"/>
      <c r="J38" s="16"/>
      <c r="K38" s="61"/>
      <c r="L38" s="77"/>
      <c r="M38" s="77"/>
      <c r="N38" s="12"/>
      <c r="O38" s="55">
        <f t="shared" si="18"/>
        <v>0</v>
      </c>
      <c r="P38" s="16">
        <f t="shared" si="7"/>
        <v>0</v>
      </c>
      <c r="Q38" s="12"/>
      <c r="R38" s="12"/>
      <c r="S38" s="12"/>
      <c r="T38" s="83"/>
      <c r="U38" s="6">
        <v>0</v>
      </c>
      <c r="V38" s="4"/>
      <c r="W38" s="4"/>
      <c r="X38" s="5"/>
      <c r="Y38" s="123"/>
      <c r="Z38" s="100"/>
      <c r="AA38" s="88"/>
      <c r="AB38" s="12"/>
      <c r="AC38" s="6"/>
      <c r="AD38" s="6"/>
      <c r="AE38" s="44"/>
      <c r="AF38" s="44"/>
      <c r="AG38" s="118"/>
      <c r="AH38" s="12"/>
      <c r="AI38" s="12"/>
      <c r="AJ38" s="12"/>
      <c r="AK38" s="12"/>
      <c r="AL38" s="12"/>
      <c r="AM38" s="12"/>
      <c r="AN38" s="12"/>
      <c r="AO38" s="12"/>
      <c r="AP38" s="12"/>
    </row>
    <row r="39" spans="1:42" ht="51">
      <c r="A39" s="143" t="s">
        <v>88</v>
      </c>
      <c r="B39" s="54" t="s">
        <v>97</v>
      </c>
      <c r="C39" s="16">
        <v>0</v>
      </c>
      <c r="D39" s="16">
        <v>0</v>
      </c>
      <c r="E39" s="39">
        <v>75</v>
      </c>
      <c r="F39" s="39"/>
      <c r="G39" s="40" t="e">
        <f>E39/C39</f>
        <v>#DIV/0!</v>
      </c>
      <c r="H39" s="44"/>
      <c r="I39" s="38"/>
      <c r="J39" s="42">
        <f t="shared" si="17"/>
        <v>-75</v>
      </c>
      <c r="K39" s="69">
        <v>0</v>
      </c>
      <c r="L39" s="69">
        <v>0</v>
      </c>
      <c r="M39" s="69">
        <v>0</v>
      </c>
      <c r="N39" s="44" t="s">
        <v>34</v>
      </c>
      <c r="O39" s="58">
        <f t="shared" si="18"/>
        <v>0</v>
      </c>
      <c r="P39" s="42">
        <f t="shared" si="7"/>
        <v>-75</v>
      </c>
      <c r="Q39" s="12"/>
      <c r="R39" s="12"/>
      <c r="S39" s="12"/>
      <c r="T39" s="16">
        <v>0</v>
      </c>
      <c r="U39" s="16">
        <v>-75</v>
      </c>
      <c r="V39" s="16">
        <v>0</v>
      </c>
      <c r="W39" s="16">
        <v>0</v>
      </c>
      <c r="X39" s="16">
        <v>0</v>
      </c>
      <c r="Y39" s="123" t="s">
        <v>57</v>
      </c>
      <c r="Z39" s="17">
        <v>0</v>
      </c>
      <c r="AA39" s="88" t="s">
        <v>57</v>
      </c>
      <c r="AB39" s="12"/>
      <c r="AC39" s="16">
        <f t="shared" si="14"/>
        <v>-75</v>
      </c>
      <c r="AD39" s="16">
        <f t="shared" si="13"/>
        <v>0</v>
      </c>
      <c r="AE39" s="42">
        <f aca="true" t="shared" si="19" ref="AE39:AE44">SUM(T39-C39)</f>
        <v>0</v>
      </c>
      <c r="AF39" s="44"/>
      <c r="AG39" s="230">
        <v>-25</v>
      </c>
      <c r="AH39" s="25">
        <v>0</v>
      </c>
      <c r="AI39" s="12"/>
      <c r="AJ39" s="12"/>
      <c r="AK39" s="12"/>
      <c r="AL39" s="12"/>
      <c r="AM39" s="12"/>
      <c r="AN39" s="12"/>
      <c r="AO39" s="12"/>
      <c r="AP39" s="12"/>
    </row>
    <row r="40" spans="1:42" ht="12.75">
      <c r="A40" s="134"/>
      <c r="B40" s="25" t="s">
        <v>88</v>
      </c>
      <c r="C40" s="13">
        <v>2243</v>
      </c>
      <c r="D40" s="13">
        <v>2355</v>
      </c>
      <c r="E40" s="13">
        <v>776</v>
      </c>
      <c r="F40" s="13">
        <v>899</v>
      </c>
      <c r="G40" s="14">
        <f>E40/C40</f>
        <v>0.34596522514489525</v>
      </c>
      <c r="H40" s="14">
        <f>F40/D40</f>
        <v>0.38174097664543527</v>
      </c>
      <c r="I40" s="8"/>
      <c r="J40" s="16">
        <f t="shared" si="17"/>
        <v>1467</v>
      </c>
      <c r="K40" s="61">
        <v>3200</v>
      </c>
      <c r="L40" s="72">
        <f>SUM(K40-J40)/(J40)</f>
        <v>1.1813224267211997</v>
      </c>
      <c r="M40" s="72">
        <f>SUM(K40-C40)/C40</f>
        <v>0.42666072224699064</v>
      </c>
      <c r="N40" s="12"/>
      <c r="O40" s="55">
        <f t="shared" si="18"/>
        <v>957</v>
      </c>
      <c r="P40" s="16">
        <f t="shared" si="7"/>
        <v>-776</v>
      </c>
      <c r="Q40" s="12"/>
      <c r="R40" s="12"/>
      <c r="S40" s="12"/>
      <c r="T40" s="17">
        <v>3200</v>
      </c>
      <c r="U40" s="16">
        <v>957</v>
      </c>
      <c r="V40" s="15">
        <f>SUM(T40-J40)/J40</f>
        <v>1.1813224267211997</v>
      </c>
      <c r="W40" s="15">
        <f>SUM(T40-C40)/C40</f>
        <v>0.42666072224699064</v>
      </c>
      <c r="X40" s="17">
        <v>1912</v>
      </c>
      <c r="Y40" s="123" t="s">
        <v>58</v>
      </c>
      <c r="Z40" s="17">
        <v>3200</v>
      </c>
      <c r="AA40" s="88" t="s">
        <v>58</v>
      </c>
      <c r="AB40" s="12"/>
      <c r="AC40" s="16">
        <f t="shared" si="14"/>
        <v>-776</v>
      </c>
      <c r="AD40" s="16">
        <f t="shared" si="13"/>
        <v>-331</v>
      </c>
      <c r="AE40" s="16">
        <f t="shared" si="19"/>
        <v>957</v>
      </c>
      <c r="AF40" s="12"/>
      <c r="AG40" s="115">
        <v>-438</v>
      </c>
      <c r="AH40" s="12">
        <v>-550</v>
      </c>
      <c r="AI40" s="12"/>
      <c r="AJ40" s="12"/>
      <c r="AK40" s="12"/>
      <c r="AL40" s="12"/>
      <c r="AM40" s="12"/>
      <c r="AN40" s="12"/>
      <c r="AO40" s="12"/>
      <c r="AP40" s="12"/>
    </row>
    <row r="41" spans="1:42" ht="12.75">
      <c r="A41" s="32"/>
      <c r="B41" s="26" t="s">
        <v>99</v>
      </c>
      <c r="C41" s="13">
        <v>0</v>
      </c>
      <c r="D41" s="13">
        <v>500</v>
      </c>
      <c r="E41" s="13">
        <v>2000</v>
      </c>
      <c r="F41" s="13">
        <v>1410</v>
      </c>
      <c r="G41" s="14"/>
      <c r="H41" s="27"/>
      <c r="I41" s="8"/>
      <c r="J41" s="16">
        <f t="shared" si="17"/>
        <v>-2000</v>
      </c>
      <c r="K41" s="61">
        <v>200</v>
      </c>
      <c r="L41" s="72">
        <f>SUM(K41-J41)/(J41)</f>
        <v>-1.1</v>
      </c>
      <c r="M41" s="65">
        <v>0</v>
      </c>
      <c r="N41" s="12"/>
      <c r="O41" s="55">
        <f t="shared" si="18"/>
        <v>200</v>
      </c>
      <c r="P41" s="16">
        <f t="shared" si="7"/>
        <v>-2000</v>
      </c>
      <c r="Q41" s="12"/>
      <c r="R41" s="12"/>
      <c r="S41" s="12"/>
      <c r="T41" s="17">
        <v>200</v>
      </c>
      <c r="U41" s="16">
        <v>200</v>
      </c>
      <c r="V41" s="15">
        <f>SUM(T41-J41)/J41</f>
        <v>-1.1</v>
      </c>
      <c r="W41" s="16">
        <v>0</v>
      </c>
      <c r="X41" s="12">
        <v>100</v>
      </c>
      <c r="Y41" s="123" t="s">
        <v>59</v>
      </c>
      <c r="Z41" s="17">
        <v>200</v>
      </c>
      <c r="AA41" s="88" t="s">
        <v>59</v>
      </c>
      <c r="AB41" s="12"/>
      <c r="AC41" s="16">
        <f>SUM(J41-C41)</f>
        <v>-2000</v>
      </c>
      <c r="AD41" s="16">
        <f t="shared" si="13"/>
        <v>100</v>
      </c>
      <c r="AE41" s="16">
        <f t="shared" si="19"/>
        <v>200</v>
      </c>
      <c r="AF41" s="85" t="s">
        <v>74</v>
      </c>
      <c r="AG41" s="152">
        <v>170</v>
      </c>
      <c r="AH41" s="151"/>
      <c r="AI41" s="25" t="s">
        <v>75</v>
      </c>
      <c r="AJ41" s="115"/>
      <c r="AK41" s="12"/>
      <c r="AL41" s="12"/>
      <c r="AM41" s="12"/>
      <c r="AN41" s="12"/>
      <c r="AO41" s="12"/>
      <c r="AP41" s="12"/>
    </row>
    <row r="42" spans="1:42" ht="12.75">
      <c r="A42" s="134"/>
      <c r="B42" s="30" t="s">
        <v>9</v>
      </c>
      <c r="C42" s="10">
        <v>54</v>
      </c>
      <c r="D42" s="13">
        <v>56</v>
      </c>
      <c r="E42" s="12">
        <v>11</v>
      </c>
      <c r="F42" s="13">
        <v>12</v>
      </c>
      <c r="G42" s="14">
        <f>E42/C42</f>
        <v>0.2037037037037037</v>
      </c>
      <c r="H42" s="14">
        <f>F42/D42</f>
        <v>0.21428571428571427</v>
      </c>
      <c r="I42" s="8"/>
      <c r="J42" s="16">
        <f t="shared" si="17"/>
        <v>43</v>
      </c>
      <c r="K42" s="61">
        <v>55.6</v>
      </c>
      <c r="L42" s="72">
        <f>SUM(K42-J42)/(J42)</f>
        <v>0.2930232558139535</v>
      </c>
      <c r="M42" s="72">
        <f>SUM(K42-C42)/C42</f>
        <v>0.029629629629629655</v>
      </c>
      <c r="N42" s="12"/>
      <c r="O42" s="55">
        <f t="shared" si="18"/>
        <v>1.6000000000000014</v>
      </c>
      <c r="P42" s="16">
        <f t="shared" si="7"/>
        <v>-11</v>
      </c>
      <c r="Q42" s="12"/>
      <c r="R42" s="12"/>
      <c r="S42" s="12"/>
      <c r="T42" s="17">
        <v>55.6</v>
      </c>
      <c r="U42" s="16">
        <v>1.6000000000000014</v>
      </c>
      <c r="V42" s="15">
        <f>SUM(T42-J42)/J42</f>
        <v>0.2930232558139535</v>
      </c>
      <c r="W42" s="15">
        <f>SUM(T42-C42)/C42</f>
        <v>0.029629629629629655</v>
      </c>
      <c r="X42" s="25">
        <v>54</v>
      </c>
      <c r="Y42" s="123"/>
      <c r="Z42" s="17">
        <v>55.6</v>
      </c>
      <c r="AA42" s="88"/>
      <c r="AB42" s="12"/>
      <c r="AC42" s="16">
        <f t="shared" si="14"/>
        <v>-11</v>
      </c>
      <c r="AD42" s="16">
        <f t="shared" si="13"/>
        <v>0</v>
      </c>
      <c r="AE42" s="16">
        <f t="shared" si="19"/>
        <v>1.6000000000000014</v>
      </c>
      <c r="AF42" s="155"/>
      <c r="AG42" s="115">
        <v>-3</v>
      </c>
      <c r="AH42" s="151"/>
      <c r="AI42" s="25" t="s">
        <v>73</v>
      </c>
      <c r="AJ42" s="12"/>
      <c r="AK42" s="12"/>
      <c r="AL42" s="12"/>
      <c r="AM42" s="12"/>
      <c r="AN42" s="12"/>
      <c r="AO42" s="12"/>
      <c r="AP42" s="12"/>
    </row>
    <row r="43" spans="1:42" ht="12.75">
      <c r="A43" s="134"/>
      <c r="B43" s="11" t="s">
        <v>100</v>
      </c>
      <c r="C43" s="10">
        <v>50</v>
      </c>
      <c r="D43" s="12"/>
      <c r="E43" s="13">
        <v>50</v>
      </c>
      <c r="F43" s="13">
        <v>0</v>
      </c>
      <c r="G43" s="14">
        <f>E43/C43</f>
        <v>1</v>
      </c>
      <c r="H43" s="14"/>
      <c r="I43" s="8"/>
      <c r="J43" s="16">
        <f t="shared" si="17"/>
        <v>0</v>
      </c>
      <c r="K43" s="65">
        <v>0</v>
      </c>
      <c r="L43" s="65">
        <v>0</v>
      </c>
      <c r="M43" s="65">
        <v>0</v>
      </c>
      <c r="N43" s="12"/>
      <c r="O43" s="55">
        <f t="shared" si="18"/>
        <v>-50</v>
      </c>
      <c r="P43" s="16">
        <f t="shared" si="7"/>
        <v>-50</v>
      </c>
      <c r="Q43" s="12"/>
      <c r="R43" s="12"/>
      <c r="S43" s="12"/>
      <c r="T43" s="16">
        <v>0</v>
      </c>
      <c r="U43" s="16">
        <v>-50</v>
      </c>
      <c r="V43" s="16">
        <v>0</v>
      </c>
      <c r="W43" s="16">
        <v>0</v>
      </c>
      <c r="X43" s="12">
        <v>0</v>
      </c>
      <c r="Y43" s="123" t="s">
        <v>60</v>
      </c>
      <c r="Z43" s="17">
        <v>0</v>
      </c>
      <c r="AA43" s="88" t="s">
        <v>60</v>
      </c>
      <c r="AB43" s="12"/>
      <c r="AC43" s="16">
        <f t="shared" si="14"/>
        <v>-50</v>
      </c>
      <c r="AD43" s="16">
        <f t="shared" si="13"/>
        <v>-50</v>
      </c>
      <c r="AE43" s="16">
        <f t="shared" si="19"/>
        <v>-50</v>
      </c>
      <c r="AF43" s="12"/>
      <c r="AG43" s="115">
        <v>-50</v>
      </c>
      <c r="AH43" s="12">
        <v>0</v>
      </c>
      <c r="AI43" s="12"/>
      <c r="AJ43" s="12"/>
      <c r="AK43" s="12"/>
      <c r="AL43" s="12"/>
      <c r="AM43" s="12"/>
      <c r="AN43" s="12"/>
      <c r="AO43" s="12"/>
      <c r="AP43" s="12"/>
    </row>
    <row r="44" spans="1:42" s="172" customFormat="1" ht="12.75">
      <c r="A44" s="141"/>
      <c r="B44" s="225" t="s">
        <v>16</v>
      </c>
      <c r="C44" s="182">
        <f>SUM(C39:C43)</f>
        <v>2347</v>
      </c>
      <c r="D44" s="182">
        <f>SUM(D39:D43)</f>
        <v>2911</v>
      </c>
      <c r="E44" s="183">
        <f>SUM(E39:E43)</f>
        <v>2912</v>
      </c>
      <c r="F44" s="182">
        <f>SUM(F39:F43)</f>
        <v>2321</v>
      </c>
      <c r="G44" s="184">
        <f>E44/C44</f>
        <v>1.2407328504473796</v>
      </c>
      <c r="H44" s="184">
        <f>F44/D44</f>
        <v>0.7973205084163517</v>
      </c>
      <c r="I44" s="141"/>
      <c r="J44" s="183">
        <f>SUM(C44-E44)</f>
        <v>-565</v>
      </c>
      <c r="K44" s="185">
        <f>SUM(K39:K43)</f>
        <v>3455.6</v>
      </c>
      <c r="L44" s="186">
        <f>SUM(L39:L43)</f>
        <v>0.3743456825351531</v>
      </c>
      <c r="M44" s="186">
        <f>SUM(M39:M43)</f>
        <v>0.4562903518766203</v>
      </c>
      <c r="N44" s="181"/>
      <c r="O44" s="187">
        <f t="shared" si="18"/>
        <v>1108.6</v>
      </c>
      <c r="P44" s="183">
        <f t="shared" si="7"/>
        <v>-2912</v>
      </c>
      <c r="Q44" s="173"/>
      <c r="R44" s="173"/>
      <c r="S44" s="173"/>
      <c r="T44" s="180">
        <v>3455.6</v>
      </c>
      <c r="U44" s="180">
        <v>1033.6</v>
      </c>
      <c r="V44" s="188">
        <f>SUM(T44-J44)/J44</f>
        <v>-7.116106194690265</v>
      </c>
      <c r="W44" s="189">
        <f>SUM(T44-C44)/C44</f>
        <v>0.47234767788666376</v>
      </c>
      <c r="X44" s="190">
        <f>SUM(X40+X41+X43+X42)</f>
        <v>2066</v>
      </c>
      <c r="Y44" s="129"/>
      <c r="Z44" s="190">
        <v>3455.6</v>
      </c>
      <c r="AA44" s="90"/>
      <c r="AB44" s="173"/>
      <c r="AC44" s="180">
        <f t="shared" si="14"/>
        <v>-2912</v>
      </c>
      <c r="AD44" s="180">
        <f t="shared" si="13"/>
        <v>-281</v>
      </c>
      <c r="AE44" s="180">
        <f t="shared" si="19"/>
        <v>1108.6</v>
      </c>
      <c r="AF44" s="173"/>
      <c r="AG44" s="192">
        <f>SUM(AG39:AG43)</f>
        <v>-346</v>
      </c>
      <c r="AH44" s="173"/>
      <c r="AI44" s="173"/>
      <c r="AJ44" s="173"/>
      <c r="AK44" s="173"/>
      <c r="AL44" s="173"/>
      <c r="AM44" s="173"/>
      <c r="AN44" s="173"/>
      <c r="AO44" s="173"/>
      <c r="AP44" s="173"/>
    </row>
    <row r="45" spans="1:42" ht="12.75">
      <c r="A45" s="134"/>
      <c r="B45" s="11"/>
      <c r="C45" s="13"/>
      <c r="D45" s="13"/>
      <c r="E45" s="12"/>
      <c r="F45" s="13"/>
      <c r="G45" s="12"/>
      <c r="H45" s="12"/>
      <c r="I45" s="8"/>
      <c r="J45" s="16">
        <f t="shared" si="17"/>
        <v>0</v>
      </c>
      <c r="K45" s="61"/>
      <c r="L45" s="77"/>
      <c r="M45" s="77"/>
      <c r="N45" s="12"/>
      <c r="O45" s="55">
        <f t="shared" si="18"/>
        <v>0</v>
      </c>
      <c r="P45" s="16">
        <f t="shared" si="7"/>
        <v>0</v>
      </c>
      <c r="Q45" s="12"/>
      <c r="R45" s="12"/>
      <c r="S45" s="12"/>
      <c r="T45" s="83"/>
      <c r="U45" s="6">
        <v>0</v>
      </c>
      <c r="V45" s="4"/>
      <c r="W45" s="4"/>
      <c r="X45" s="5"/>
      <c r="Y45" s="123"/>
      <c r="Z45" s="100"/>
      <c r="AA45" s="88"/>
      <c r="AB45" s="12"/>
      <c r="AC45" s="6"/>
      <c r="AD45" s="6"/>
      <c r="AE45" s="4"/>
      <c r="AF45" s="4"/>
      <c r="AG45" s="120"/>
      <c r="AH45" s="12"/>
      <c r="AI45" s="12"/>
      <c r="AJ45" s="12"/>
      <c r="AK45" s="12"/>
      <c r="AL45" s="12"/>
      <c r="AM45" s="12"/>
      <c r="AN45" s="12"/>
      <c r="AO45" s="12"/>
      <c r="AP45" s="12"/>
    </row>
    <row r="46" spans="1:42" ht="25.5">
      <c r="A46" s="143" t="s">
        <v>42</v>
      </c>
      <c r="B46" s="98" t="s">
        <v>96</v>
      </c>
      <c r="C46" s="50">
        <v>0</v>
      </c>
      <c r="D46" s="39">
        <v>8</v>
      </c>
      <c r="E46" s="44"/>
      <c r="F46" s="39">
        <v>7.6</v>
      </c>
      <c r="G46" s="44"/>
      <c r="H46" s="44"/>
      <c r="I46" s="38"/>
      <c r="J46" s="42">
        <f t="shared" si="17"/>
        <v>0</v>
      </c>
      <c r="K46" s="64">
        <v>8</v>
      </c>
      <c r="L46" s="69">
        <v>0</v>
      </c>
      <c r="M46" s="69">
        <v>0</v>
      </c>
      <c r="N46" s="44"/>
      <c r="O46" s="58">
        <f t="shared" si="18"/>
        <v>8</v>
      </c>
      <c r="P46" s="42">
        <f t="shared" si="7"/>
        <v>0</v>
      </c>
      <c r="Q46" s="12"/>
      <c r="R46" s="12"/>
      <c r="S46" s="12"/>
      <c r="T46" s="17">
        <v>8</v>
      </c>
      <c r="U46" s="16">
        <v>8</v>
      </c>
      <c r="V46" s="16">
        <v>0</v>
      </c>
      <c r="W46" s="16">
        <v>0</v>
      </c>
      <c r="X46" s="130">
        <f>SUM(Q46-S46)</f>
        <v>0</v>
      </c>
      <c r="Y46" s="123"/>
      <c r="Z46" s="17">
        <v>8</v>
      </c>
      <c r="AA46" s="94"/>
      <c r="AB46" s="12"/>
      <c r="AC46" s="16">
        <f t="shared" si="14"/>
        <v>0</v>
      </c>
      <c r="AD46" s="16">
        <f t="shared" si="13"/>
        <v>0</v>
      </c>
      <c r="AE46" s="42">
        <f aca="true" t="shared" si="20" ref="AE46:AE53">SUM(T46-C46)</f>
        <v>8</v>
      </c>
      <c r="AF46" s="44"/>
      <c r="AG46" s="232">
        <v>0</v>
      </c>
      <c r="AH46" s="151"/>
      <c r="AI46" s="25" t="s">
        <v>73</v>
      </c>
      <c r="AJ46" s="12"/>
      <c r="AK46" s="12"/>
      <c r="AL46" s="12"/>
      <c r="AM46" s="12"/>
      <c r="AN46" s="12"/>
      <c r="AO46" s="12"/>
      <c r="AP46" s="12"/>
    </row>
    <row r="47" spans="1:42" ht="12.75">
      <c r="A47" s="134"/>
      <c r="B47" s="11" t="s">
        <v>94</v>
      </c>
      <c r="C47" s="10">
        <v>246.8</v>
      </c>
      <c r="D47" s="12">
        <v>256</v>
      </c>
      <c r="E47" s="13">
        <v>14</v>
      </c>
      <c r="F47" s="13">
        <v>23.5</v>
      </c>
      <c r="G47" s="22">
        <f aca="true" t="shared" si="21" ref="G47:H49">E47/C47</f>
        <v>0.05672609400324149</v>
      </c>
      <c r="H47" s="22">
        <f t="shared" si="21"/>
        <v>0.091796875</v>
      </c>
      <c r="I47" s="8"/>
      <c r="J47" s="16">
        <f t="shared" si="17"/>
        <v>232.8</v>
      </c>
      <c r="K47" s="61">
        <v>145</v>
      </c>
      <c r="L47" s="72">
        <f>SUM(K47-J47)/(J47)</f>
        <v>-0.3771477663230241</v>
      </c>
      <c r="M47" s="72">
        <f>SUM(K47-C47)/C47</f>
        <v>-0.41247974068071314</v>
      </c>
      <c r="N47" s="12"/>
      <c r="O47" s="55">
        <f t="shared" si="18"/>
        <v>-101.80000000000001</v>
      </c>
      <c r="P47" s="16">
        <f t="shared" si="7"/>
        <v>-14</v>
      </c>
      <c r="Q47" s="12"/>
      <c r="R47" s="12"/>
      <c r="S47" s="12"/>
      <c r="T47" s="17">
        <v>145</v>
      </c>
      <c r="U47" s="16">
        <v>-101.80000000000001</v>
      </c>
      <c r="V47" s="15">
        <f>SUM(T47-J47)/J47</f>
        <v>-0.3771477663230241</v>
      </c>
      <c r="W47" s="15">
        <f>SUM(T47-C47)/C47</f>
        <v>-0.41247974068071314</v>
      </c>
      <c r="X47" s="25">
        <v>247</v>
      </c>
      <c r="Y47" s="123"/>
      <c r="Z47" s="17">
        <v>145</v>
      </c>
      <c r="AA47" s="94"/>
      <c r="AB47" s="12"/>
      <c r="AC47" s="16">
        <f t="shared" si="14"/>
        <v>-14</v>
      </c>
      <c r="AD47" s="16">
        <f t="shared" si="13"/>
        <v>0.19999999999998863</v>
      </c>
      <c r="AE47" s="16">
        <f t="shared" si="20"/>
        <v>-101.80000000000001</v>
      </c>
      <c r="AF47" s="12"/>
      <c r="AG47" s="115">
        <v>-15</v>
      </c>
      <c r="AH47" s="151"/>
      <c r="AI47" s="12" t="s">
        <v>73</v>
      </c>
      <c r="AJ47" s="12"/>
      <c r="AK47" s="12"/>
      <c r="AL47" s="12"/>
      <c r="AM47" s="12"/>
      <c r="AN47" s="12"/>
      <c r="AO47" s="12"/>
      <c r="AP47" s="12"/>
    </row>
    <row r="48" spans="1:42" ht="12.75">
      <c r="A48" s="134"/>
      <c r="B48" s="11" t="s">
        <v>95</v>
      </c>
      <c r="C48" s="10">
        <v>202</v>
      </c>
      <c r="D48" s="12">
        <v>221</v>
      </c>
      <c r="E48" s="13">
        <v>8</v>
      </c>
      <c r="F48" s="13">
        <v>26.7</v>
      </c>
      <c r="G48" s="22">
        <f t="shared" si="21"/>
        <v>0.039603960396039604</v>
      </c>
      <c r="H48" s="22">
        <f t="shared" si="21"/>
        <v>0.12081447963800905</v>
      </c>
      <c r="I48" s="8"/>
      <c r="J48" s="16">
        <f t="shared" si="17"/>
        <v>194</v>
      </c>
      <c r="K48" s="61">
        <v>133.8</v>
      </c>
      <c r="L48" s="72">
        <f>SUM(K48-J48)/(J48)</f>
        <v>-0.3103092783505154</v>
      </c>
      <c r="M48" s="72">
        <f>SUM(K48-C48)/C48</f>
        <v>-0.3376237623762376</v>
      </c>
      <c r="N48" s="12"/>
      <c r="O48" s="55">
        <f t="shared" si="18"/>
        <v>-68.19999999999999</v>
      </c>
      <c r="P48" s="16">
        <f t="shared" si="7"/>
        <v>-8</v>
      </c>
      <c r="Q48" s="12"/>
      <c r="R48" s="12"/>
      <c r="S48" s="12"/>
      <c r="T48" s="17">
        <v>133.8</v>
      </c>
      <c r="U48" s="16">
        <v>-68.19999999999999</v>
      </c>
      <c r="V48" s="15">
        <f>SUM(T48-J48)/J48</f>
        <v>-0.3103092783505154</v>
      </c>
      <c r="W48" s="15">
        <f>SUM(T48-C48)/C48</f>
        <v>-0.3376237623762376</v>
      </c>
      <c r="X48" s="25">
        <v>202</v>
      </c>
      <c r="Y48" s="123"/>
      <c r="Z48" s="17">
        <v>133.8</v>
      </c>
      <c r="AA48" s="94"/>
      <c r="AB48" s="12"/>
      <c r="AC48" s="16">
        <f t="shared" si="14"/>
        <v>-8</v>
      </c>
      <c r="AD48" s="16">
        <f t="shared" si="13"/>
        <v>0</v>
      </c>
      <c r="AE48" s="16">
        <f t="shared" si="20"/>
        <v>-68.19999999999999</v>
      </c>
      <c r="AF48" s="12"/>
      <c r="AG48" s="115">
        <v>-12</v>
      </c>
      <c r="AH48" s="151"/>
      <c r="AI48" s="12" t="s">
        <v>73</v>
      </c>
      <c r="AJ48" s="12"/>
      <c r="AK48" s="12"/>
      <c r="AL48" s="12"/>
      <c r="AM48" s="12"/>
      <c r="AN48" s="12"/>
      <c r="AO48" s="12"/>
      <c r="AP48" s="12"/>
    </row>
    <row r="49" spans="1:42" ht="12.75">
      <c r="A49" s="134"/>
      <c r="B49" s="11" t="s">
        <v>93</v>
      </c>
      <c r="C49" s="10">
        <v>224.9</v>
      </c>
      <c r="D49" s="13">
        <v>265</v>
      </c>
      <c r="E49" s="13">
        <v>20</v>
      </c>
      <c r="F49" s="13">
        <v>35.9</v>
      </c>
      <c r="G49" s="22">
        <f t="shared" si="21"/>
        <v>0.08892841262783459</v>
      </c>
      <c r="H49" s="22">
        <f t="shared" si="21"/>
        <v>0.13547169811320753</v>
      </c>
      <c r="I49" s="8"/>
      <c r="J49" s="16">
        <f t="shared" si="17"/>
        <v>204.9</v>
      </c>
      <c r="K49" s="61">
        <v>387.8</v>
      </c>
      <c r="L49" s="72">
        <f>SUM(K49-J49)/(J49)</f>
        <v>0.892630551488531</v>
      </c>
      <c r="M49" s="72">
        <f>SUM(K49-C49)/C49</f>
        <v>0.7243219208537127</v>
      </c>
      <c r="N49" s="12"/>
      <c r="O49" s="55">
        <f t="shared" si="18"/>
        <v>162.9</v>
      </c>
      <c r="P49" s="16">
        <f t="shared" si="7"/>
        <v>-20</v>
      </c>
      <c r="Q49" s="12"/>
      <c r="R49" s="12"/>
      <c r="S49" s="12"/>
      <c r="T49" s="17">
        <v>387.8</v>
      </c>
      <c r="U49" s="16">
        <v>162.9</v>
      </c>
      <c r="V49" s="15">
        <f>SUM(T49-J49)/J49</f>
        <v>0.892630551488531</v>
      </c>
      <c r="W49" s="15">
        <f>SUM(T49-C49)/C49</f>
        <v>0.7243219208537127</v>
      </c>
      <c r="X49" s="25">
        <v>225</v>
      </c>
      <c r="Y49" s="123"/>
      <c r="Z49" s="17">
        <v>387.8</v>
      </c>
      <c r="AA49" s="94"/>
      <c r="AB49" s="12"/>
      <c r="AC49" s="16">
        <f t="shared" si="14"/>
        <v>-20</v>
      </c>
      <c r="AD49" s="16">
        <f t="shared" si="13"/>
        <v>0.09999999999999432</v>
      </c>
      <c r="AE49" s="16">
        <f t="shared" si="20"/>
        <v>162.9</v>
      </c>
      <c r="AF49" s="12"/>
      <c r="AG49" s="115">
        <v>-14</v>
      </c>
      <c r="AH49" s="151"/>
      <c r="AI49" s="12" t="s">
        <v>73</v>
      </c>
      <c r="AJ49" s="12"/>
      <c r="AK49" s="12"/>
      <c r="AL49" s="12"/>
      <c r="AM49" s="12"/>
      <c r="AN49" s="12"/>
      <c r="AO49" s="12"/>
      <c r="AP49" s="12"/>
    </row>
    <row r="50" spans="1:42" ht="12.75">
      <c r="A50" s="134"/>
      <c r="B50" s="25" t="s">
        <v>91</v>
      </c>
      <c r="C50" s="13">
        <v>227</v>
      </c>
      <c r="D50" s="13">
        <v>25</v>
      </c>
      <c r="E50" s="13">
        <v>25</v>
      </c>
      <c r="F50" s="13">
        <v>25</v>
      </c>
      <c r="G50" s="31"/>
      <c r="H50" s="22">
        <f>F50/D50</f>
        <v>1</v>
      </c>
      <c r="I50" s="8"/>
      <c r="J50" s="16">
        <f t="shared" si="17"/>
        <v>202</v>
      </c>
      <c r="K50" s="68">
        <v>315</v>
      </c>
      <c r="L50" s="65">
        <v>0</v>
      </c>
      <c r="M50" s="65">
        <v>0</v>
      </c>
      <c r="N50" s="12"/>
      <c r="O50" s="55">
        <f t="shared" si="18"/>
        <v>88</v>
      </c>
      <c r="P50" s="16">
        <f t="shared" si="7"/>
        <v>-25</v>
      </c>
      <c r="Q50" s="12"/>
      <c r="R50" s="12"/>
      <c r="S50" s="12"/>
      <c r="T50" s="17">
        <v>315</v>
      </c>
      <c r="U50" s="16">
        <v>315</v>
      </c>
      <c r="V50" s="16">
        <v>0</v>
      </c>
      <c r="W50" s="16">
        <v>0</v>
      </c>
      <c r="X50" s="85">
        <v>227</v>
      </c>
      <c r="Y50" s="123"/>
      <c r="Z50" s="17">
        <v>315</v>
      </c>
      <c r="AA50" s="88"/>
      <c r="AB50" s="12"/>
      <c r="AC50" s="16">
        <f t="shared" si="14"/>
        <v>-25</v>
      </c>
      <c r="AD50" s="16">
        <f t="shared" si="13"/>
        <v>0</v>
      </c>
      <c r="AE50" s="16">
        <f t="shared" si="20"/>
        <v>88</v>
      </c>
      <c r="AF50" s="12"/>
      <c r="AG50" s="115">
        <v>-62</v>
      </c>
      <c r="AH50" s="160"/>
      <c r="AI50" s="12" t="s">
        <v>73</v>
      </c>
      <c r="AJ50" s="12"/>
      <c r="AK50" s="12"/>
      <c r="AL50" s="12"/>
      <c r="AM50" s="12"/>
      <c r="AN50" s="12"/>
      <c r="AO50" s="12"/>
      <c r="AP50" s="12"/>
    </row>
    <row r="51" spans="1:42" ht="12.75">
      <c r="A51" s="134"/>
      <c r="B51" s="11" t="s">
        <v>92</v>
      </c>
      <c r="C51" s="13">
        <v>10</v>
      </c>
      <c r="D51" s="13">
        <v>0</v>
      </c>
      <c r="E51" s="13">
        <v>10</v>
      </c>
      <c r="F51" s="13">
        <v>0</v>
      </c>
      <c r="G51" s="22">
        <f>E51/C51</f>
        <v>1</v>
      </c>
      <c r="H51" s="12"/>
      <c r="I51" s="8"/>
      <c r="J51" s="16">
        <f t="shared" si="17"/>
        <v>0</v>
      </c>
      <c r="K51" s="61">
        <v>0</v>
      </c>
      <c r="L51" s="65">
        <v>0</v>
      </c>
      <c r="M51" s="72">
        <f>SUM(K51-C51)/C51</f>
        <v>-1</v>
      </c>
      <c r="N51" s="12"/>
      <c r="O51" s="55">
        <f t="shared" si="18"/>
        <v>-10</v>
      </c>
      <c r="P51" s="16">
        <f t="shared" si="7"/>
        <v>-10</v>
      </c>
      <c r="Q51" s="12"/>
      <c r="R51" s="12"/>
      <c r="S51" s="12"/>
      <c r="T51" s="17">
        <v>0</v>
      </c>
      <c r="U51" s="16">
        <v>-10</v>
      </c>
      <c r="V51" s="16">
        <v>0</v>
      </c>
      <c r="W51" s="15">
        <f>SUM(T51-C51)/C51</f>
        <v>-1</v>
      </c>
      <c r="X51" s="12">
        <v>85</v>
      </c>
      <c r="Y51" s="123"/>
      <c r="Z51" s="17">
        <v>0</v>
      </c>
      <c r="AA51" s="88"/>
      <c r="AB51" s="12"/>
      <c r="AC51" s="16">
        <f t="shared" si="14"/>
        <v>-10</v>
      </c>
      <c r="AD51" s="16">
        <f t="shared" si="13"/>
        <v>75</v>
      </c>
      <c r="AE51" s="16">
        <f t="shared" si="20"/>
        <v>-10</v>
      </c>
      <c r="AF51" s="12"/>
      <c r="AG51" s="115">
        <v>-3</v>
      </c>
      <c r="AH51" s="151"/>
      <c r="AI51" s="12" t="s">
        <v>73</v>
      </c>
      <c r="AJ51" s="12"/>
      <c r="AK51" s="12"/>
      <c r="AL51" s="12"/>
      <c r="AM51" s="12"/>
      <c r="AN51" s="12"/>
      <c r="AO51" s="12"/>
      <c r="AP51" s="12"/>
    </row>
    <row r="52" spans="1:42" ht="12.75">
      <c r="A52" s="134"/>
      <c r="B52" s="11" t="s">
        <v>7</v>
      </c>
      <c r="C52" s="10">
        <v>20</v>
      </c>
      <c r="D52" s="13">
        <v>17</v>
      </c>
      <c r="E52" s="13">
        <v>16</v>
      </c>
      <c r="F52" s="13">
        <v>16.1</v>
      </c>
      <c r="G52" s="22">
        <f>E52/C52</f>
        <v>0.8</v>
      </c>
      <c r="H52" s="22">
        <f>F52/D52</f>
        <v>0.9470588235294118</v>
      </c>
      <c r="I52" s="8"/>
      <c r="J52" s="16">
        <f t="shared" si="17"/>
        <v>4</v>
      </c>
      <c r="K52" s="61">
        <v>16</v>
      </c>
      <c r="L52" s="72">
        <f>SUM(K52-J52)/(J52)</f>
        <v>3</v>
      </c>
      <c r="M52" s="72">
        <f>SUM(K52-C52)/C52</f>
        <v>-0.2</v>
      </c>
      <c r="N52" s="12"/>
      <c r="O52" s="55">
        <f t="shared" si="18"/>
        <v>-4</v>
      </c>
      <c r="P52" s="16">
        <f t="shared" si="7"/>
        <v>-16</v>
      </c>
      <c r="Q52" s="12"/>
      <c r="R52" s="12"/>
      <c r="S52" s="12"/>
      <c r="T52" s="17">
        <v>16</v>
      </c>
      <c r="U52" s="16">
        <v>-4</v>
      </c>
      <c r="V52" s="15">
        <f>SUM(T52-J52)/J52</f>
        <v>3</v>
      </c>
      <c r="W52" s="15">
        <f>SUM(T52-C52)/C52</f>
        <v>-0.2</v>
      </c>
      <c r="X52" s="26">
        <v>20</v>
      </c>
      <c r="Y52" s="123"/>
      <c r="Z52" s="17">
        <v>16</v>
      </c>
      <c r="AA52" s="94"/>
      <c r="AB52" s="12"/>
      <c r="AC52" s="16">
        <f t="shared" si="14"/>
        <v>-16</v>
      </c>
      <c r="AD52" s="16">
        <f t="shared" si="13"/>
        <v>0</v>
      </c>
      <c r="AE52" s="16">
        <f t="shared" si="20"/>
        <v>-4</v>
      </c>
      <c r="AF52" s="12"/>
      <c r="AG52" s="115">
        <v>-1</v>
      </c>
      <c r="AH52" s="151"/>
      <c r="AI52" s="12" t="s">
        <v>73</v>
      </c>
      <c r="AJ52" s="12"/>
      <c r="AK52" s="12"/>
      <c r="AL52" s="12"/>
      <c r="AM52" s="12"/>
      <c r="AN52" s="12"/>
      <c r="AO52" s="12"/>
      <c r="AP52" s="12"/>
    </row>
    <row r="53" spans="1:42" s="172" customFormat="1" ht="14.25">
      <c r="A53" s="141"/>
      <c r="B53" s="209" t="s">
        <v>16</v>
      </c>
      <c r="C53" s="209">
        <f>SUM(C47:C52)</f>
        <v>930.7</v>
      </c>
      <c r="D53" s="182">
        <f>SUM(D47:D52)</f>
        <v>784</v>
      </c>
      <c r="E53" s="183">
        <f>SUM(E47:E52)</f>
        <v>93</v>
      </c>
      <c r="F53" s="182">
        <f>SUM(F47:F52)</f>
        <v>127.19999999999999</v>
      </c>
      <c r="G53" s="184">
        <f>E53/C53</f>
        <v>0.09992478779413344</v>
      </c>
      <c r="H53" s="184">
        <f>F53/D53</f>
        <v>0.16224489795918365</v>
      </c>
      <c r="I53" s="141"/>
      <c r="J53" s="210">
        <f t="shared" si="17"/>
        <v>837.7</v>
      </c>
      <c r="K53" s="211">
        <f>SUM(K46:K52)</f>
        <v>1005.6</v>
      </c>
      <c r="L53" s="212">
        <f>SUM(L46:L52)</f>
        <v>3.2051735068149916</v>
      </c>
      <c r="M53" s="212">
        <f>SUM(M46:M52)</f>
        <v>-1.2257815822032379</v>
      </c>
      <c r="N53" s="213"/>
      <c r="O53" s="210">
        <f t="shared" si="18"/>
        <v>74.89999999999998</v>
      </c>
      <c r="P53" s="210">
        <f t="shared" si="7"/>
        <v>-93</v>
      </c>
      <c r="Q53" s="214"/>
      <c r="R53" s="214"/>
      <c r="S53" s="214"/>
      <c r="T53" s="215">
        <v>1005.6</v>
      </c>
      <c r="U53" s="216">
        <v>301.9</v>
      </c>
      <c r="V53" s="217">
        <f>SUM(T53-J53)/J53</f>
        <v>0.20042974811985192</v>
      </c>
      <c r="W53" s="212">
        <f>SUM(T53-C53)/C53</f>
        <v>0.08047706027721067</v>
      </c>
      <c r="X53" s="216">
        <f>SUM(X46+X47+X48+X49+X50+X51+X52)</f>
        <v>1006</v>
      </c>
      <c r="Y53" s="129"/>
      <c r="Z53" s="218">
        <v>1005.6</v>
      </c>
      <c r="AA53" s="90"/>
      <c r="AB53" s="173"/>
      <c r="AC53" s="183">
        <f t="shared" si="14"/>
        <v>-93</v>
      </c>
      <c r="AD53" s="180">
        <f t="shared" si="13"/>
        <v>75.29999999999995</v>
      </c>
      <c r="AE53" s="180">
        <f t="shared" si="20"/>
        <v>74.89999999999998</v>
      </c>
      <c r="AF53" s="173"/>
      <c r="AG53" s="192">
        <f>SUM(AG46:AG52)</f>
        <v>-107</v>
      </c>
      <c r="AH53" s="173"/>
      <c r="AI53" s="173"/>
      <c r="AJ53" s="219"/>
      <c r="AK53" s="177"/>
      <c r="AL53" s="177"/>
      <c r="AM53" s="177"/>
      <c r="AN53" s="177"/>
      <c r="AO53" s="173"/>
      <c r="AP53" s="173"/>
    </row>
    <row r="54" spans="1:42" ht="14.25">
      <c r="A54" s="145"/>
      <c r="B54" s="104"/>
      <c r="C54" s="104"/>
      <c r="D54" s="105"/>
      <c r="E54" s="34"/>
      <c r="F54" s="105"/>
      <c r="G54" s="34"/>
      <c r="H54" s="34"/>
      <c r="I54" s="46"/>
      <c r="J54" s="36"/>
      <c r="K54" s="106"/>
      <c r="L54" s="107"/>
      <c r="M54" s="107"/>
      <c r="N54" s="34"/>
      <c r="O54" s="56">
        <f t="shared" si="18"/>
        <v>0</v>
      </c>
      <c r="P54" s="36">
        <f t="shared" si="7"/>
        <v>0</v>
      </c>
      <c r="Q54" s="34"/>
      <c r="R54" s="34"/>
      <c r="S54" s="34"/>
      <c r="T54" s="83"/>
      <c r="U54" s="6">
        <v>0</v>
      </c>
      <c r="V54" s="4"/>
      <c r="W54" s="4"/>
      <c r="X54" s="4"/>
      <c r="Y54" s="128"/>
      <c r="Z54" s="108"/>
      <c r="AA54" s="88"/>
      <c r="AB54" s="12"/>
      <c r="AC54" s="36"/>
      <c r="AD54" s="6"/>
      <c r="AE54" s="229"/>
      <c r="AF54" s="4"/>
      <c r="AG54" s="120"/>
      <c r="AH54" s="12"/>
      <c r="AI54" s="12"/>
      <c r="AJ54" s="161"/>
      <c r="AK54" s="163"/>
      <c r="AL54" s="163"/>
      <c r="AM54" s="163"/>
      <c r="AN54" s="163"/>
      <c r="AO54" s="12"/>
      <c r="AP54" s="12"/>
    </row>
    <row r="55" spans="1:42" ht="38.25">
      <c r="A55" s="134" t="s">
        <v>44</v>
      </c>
      <c r="B55" s="25" t="s">
        <v>35</v>
      </c>
      <c r="C55" s="52">
        <v>5100</v>
      </c>
      <c r="D55" s="20">
        <v>790</v>
      </c>
      <c r="E55" s="20">
        <v>390</v>
      </c>
      <c r="F55" s="20">
        <v>400</v>
      </c>
      <c r="G55" s="22">
        <f>E55/C55</f>
        <v>0.07647058823529412</v>
      </c>
      <c r="H55" s="22">
        <f>F55/D55</f>
        <v>0.5063291139240507</v>
      </c>
      <c r="I55" s="23"/>
      <c r="J55" s="16">
        <f t="shared" si="17"/>
        <v>4710</v>
      </c>
      <c r="K55" s="61">
        <v>2570</v>
      </c>
      <c r="L55" s="72">
        <f>SUM(K55-J55)/(J55)</f>
        <v>-0.4543524416135881</v>
      </c>
      <c r="M55" s="72">
        <f>SUM(K55-C55)/C55</f>
        <v>-0.49607843137254903</v>
      </c>
      <c r="N55" s="12"/>
      <c r="O55" s="55">
        <f t="shared" si="18"/>
        <v>-2530</v>
      </c>
      <c r="P55" s="16">
        <f t="shared" si="7"/>
        <v>-390</v>
      </c>
      <c r="Q55" s="12"/>
      <c r="R55" s="12"/>
      <c r="S55" s="12"/>
      <c r="T55" s="17">
        <v>2570</v>
      </c>
      <c r="U55" s="16">
        <v>-2530</v>
      </c>
      <c r="V55" s="15">
        <f>SUM(T55-J55)/J55</f>
        <v>-0.4543524416135881</v>
      </c>
      <c r="W55" s="15">
        <f>SUM(T55-C55)/C55</f>
        <v>-0.49607843137254903</v>
      </c>
      <c r="X55" s="96">
        <v>4850</v>
      </c>
      <c r="Y55" s="126" t="s">
        <v>61</v>
      </c>
      <c r="Z55" s="17">
        <v>2570</v>
      </c>
      <c r="AA55" s="93" t="s">
        <v>61</v>
      </c>
      <c r="AB55" s="12"/>
      <c r="AC55" s="16">
        <f t="shared" si="14"/>
        <v>-390</v>
      </c>
      <c r="AD55" s="16">
        <f t="shared" si="13"/>
        <v>-250</v>
      </c>
      <c r="AE55" s="42">
        <f>SUM(T55-C55)</f>
        <v>-2530</v>
      </c>
      <c r="AF55" s="43">
        <v>4710</v>
      </c>
      <c r="AG55" s="230">
        <f>SUM(AF55-C55)</f>
        <v>-390</v>
      </c>
      <c r="AH55" s="151"/>
      <c r="AI55" s="12"/>
      <c r="AJ55" s="161"/>
      <c r="AK55" s="163"/>
      <c r="AL55" s="163"/>
      <c r="AM55" s="163"/>
      <c r="AN55" s="163"/>
      <c r="AO55" s="12"/>
      <c r="AP55" s="12"/>
    </row>
    <row r="56" spans="1:42" ht="14.25">
      <c r="A56" s="134"/>
      <c r="B56" s="30" t="s">
        <v>101</v>
      </c>
      <c r="C56" s="10">
        <v>270</v>
      </c>
      <c r="D56" s="13"/>
      <c r="E56" s="12">
        <v>0</v>
      </c>
      <c r="F56" s="13"/>
      <c r="G56" s="12"/>
      <c r="H56" s="12"/>
      <c r="I56" s="8"/>
      <c r="J56" s="16">
        <f>SUM(C56-E56)</f>
        <v>270</v>
      </c>
      <c r="K56" s="61">
        <v>393.8</v>
      </c>
      <c r="L56" s="72">
        <f>SUM(K56-J56)/(J56)</f>
        <v>0.45851851851851855</v>
      </c>
      <c r="M56" s="72">
        <f>SUM(K56-C56)/C56</f>
        <v>0.45851851851851855</v>
      </c>
      <c r="N56" s="12"/>
      <c r="O56" s="55">
        <f t="shared" si="18"/>
        <v>123.80000000000001</v>
      </c>
      <c r="P56" s="16">
        <f t="shared" si="7"/>
        <v>0</v>
      </c>
      <c r="Q56" s="12"/>
      <c r="R56" s="12"/>
      <c r="S56" s="12"/>
      <c r="T56" s="17">
        <v>393.8</v>
      </c>
      <c r="U56" s="16">
        <v>123.80000000000001</v>
      </c>
      <c r="V56" s="15">
        <f>SUM(T56-J56)/J56</f>
        <v>0.45851851851851855</v>
      </c>
      <c r="W56" s="15">
        <f>SUM(T56-C56)/C56</f>
        <v>0.45851851851851855</v>
      </c>
      <c r="X56" s="25">
        <v>270</v>
      </c>
      <c r="Y56" s="126" t="s">
        <v>62</v>
      </c>
      <c r="Z56" s="17">
        <v>393.8</v>
      </c>
      <c r="AA56" s="93" t="s">
        <v>62</v>
      </c>
      <c r="AB56" s="12"/>
      <c r="AC56" s="16">
        <f t="shared" si="14"/>
        <v>0</v>
      </c>
      <c r="AD56" s="16">
        <f t="shared" si="13"/>
        <v>0</v>
      </c>
      <c r="AE56" s="16">
        <f>SUM(T56-C56)</f>
        <v>123.80000000000001</v>
      </c>
      <c r="AF56" s="178">
        <v>0</v>
      </c>
      <c r="AG56" s="115">
        <f>SUM(N56-G56)</f>
        <v>0</v>
      </c>
      <c r="AH56" s="151"/>
      <c r="AI56" s="12"/>
      <c r="AJ56" s="161"/>
      <c r="AK56" s="163"/>
      <c r="AL56" s="163"/>
      <c r="AM56" s="163"/>
      <c r="AN56" s="163"/>
      <c r="AO56" s="12"/>
      <c r="AP56" s="12"/>
    </row>
    <row r="57" spans="1:42" s="197" customFormat="1" ht="14.25">
      <c r="A57" s="142"/>
      <c r="B57" s="220" t="s">
        <v>16</v>
      </c>
      <c r="C57" s="220">
        <f>SUM(C55+C56)</f>
        <v>5370</v>
      </c>
      <c r="D57" s="221"/>
      <c r="E57" s="180">
        <f>SUM(E55+E56)</f>
        <v>390</v>
      </c>
      <c r="F57" s="221"/>
      <c r="G57" s="173"/>
      <c r="H57" s="173"/>
      <c r="I57" s="142"/>
      <c r="J57" s="220">
        <f>SUM(J55+J56)</f>
        <v>4980</v>
      </c>
      <c r="K57" s="222">
        <f>SUM(K55+K56)</f>
        <v>2963.8</v>
      </c>
      <c r="L57" s="223">
        <f>SUM(L55+L56)</f>
        <v>0.004166076904930427</v>
      </c>
      <c r="M57" s="223">
        <f>SUM(M55+M56)</f>
        <v>-0.037559912854030486</v>
      </c>
      <c r="N57" s="173"/>
      <c r="O57" s="224">
        <v>-2406</v>
      </c>
      <c r="P57" s="180">
        <v>-200</v>
      </c>
      <c r="Q57" s="173"/>
      <c r="R57" s="173"/>
      <c r="S57" s="173"/>
      <c r="T57" s="183">
        <v>2963.8</v>
      </c>
      <c r="U57" s="183">
        <v>-2406</v>
      </c>
      <c r="V57" s="188">
        <f>SUM(T57-J57)/J57</f>
        <v>-0.40485943775100397</v>
      </c>
      <c r="W57" s="189">
        <f>SUM(T57-C57)/C57</f>
        <v>-0.4480819366852886</v>
      </c>
      <c r="X57" s="190">
        <f>SUM(X55+X56)</f>
        <v>5120</v>
      </c>
      <c r="Y57" s="129"/>
      <c r="Z57" s="190">
        <v>2963.8</v>
      </c>
      <c r="AA57" s="90"/>
      <c r="AB57" s="173"/>
      <c r="AC57" s="180">
        <f t="shared" si="14"/>
        <v>-390</v>
      </c>
      <c r="AD57" s="180">
        <f t="shared" si="13"/>
        <v>-250</v>
      </c>
      <c r="AE57" s="180">
        <f>SUM(T57-C57)</f>
        <v>-2406.2</v>
      </c>
      <c r="AF57" s="173"/>
      <c r="AG57" s="192">
        <f>SUM(AG55:AG56)</f>
        <v>-390</v>
      </c>
      <c r="AH57" s="173"/>
      <c r="AI57" s="173"/>
      <c r="AJ57" s="219"/>
      <c r="AK57" s="177"/>
      <c r="AL57" s="177"/>
      <c r="AM57" s="177"/>
      <c r="AN57" s="177"/>
      <c r="AO57" s="173"/>
      <c r="AP57" s="173"/>
    </row>
    <row r="58" spans="1:42" s="172" customFormat="1" ht="25.5">
      <c r="A58" s="144" t="s">
        <v>112</v>
      </c>
      <c r="B58" s="167"/>
      <c r="C58" s="168">
        <f>C7+C11+C19+C22+C26+C37+C44+C53+C57</f>
        <v>18970.4</v>
      </c>
      <c r="D58" s="168">
        <f>D7+D11+D19+D22+D26+D37+D44+D53+D55</f>
        <v>14143</v>
      </c>
      <c r="E58" s="168">
        <f>E7+E11+E19+E22+E26+E37+E44+E53+E55</f>
        <v>10411</v>
      </c>
      <c r="F58" s="168">
        <f>F7+F11+F19+F22+F26+F37+F44+F53+F55</f>
        <v>6677.599999999999</v>
      </c>
      <c r="G58" s="169">
        <f>E58/C58</f>
        <v>0.5488023447054358</v>
      </c>
      <c r="H58" s="169">
        <f>F58/D58</f>
        <v>0.472148766174079</v>
      </c>
      <c r="I58" s="144"/>
      <c r="J58" s="168">
        <f>J7+J11+J19+J22+J26+J37+J44+J53+J57</f>
        <v>8559.400000000001</v>
      </c>
      <c r="K58" s="170">
        <f>K7+K11+K19+K22+K26+K37+K44+K53+K55+K56</f>
        <v>26110.513999999996</v>
      </c>
      <c r="L58" s="171">
        <f>L7+L11+L19+L22+L26+L37+L44+L53+L55+L56</f>
        <v>97.33500036930288</v>
      </c>
      <c r="M58" s="171">
        <f>M7+M11+M19+M22+M26+M37+M44+M53+M55+M56</f>
        <v>59.63493108693078</v>
      </c>
      <c r="O58" s="121">
        <f>SUM(K58-C58)</f>
        <v>7140.113999999994</v>
      </c>
      <c r="P58" s="168">
        <f>P7+P11+P19+P22+P26+P37+P44+P53+P57</f>
        <v>-10221</v>
      </c>
      <c r="Q58" s="173"/>
      <c r="R58" s="173"/>
      <c r="S58" s="173"/>
      <c r="T58" s="168">
        <f>T7+T11+T19+T22+T26+T37+T44+T53+T57</f>
        <v>26110.513999999996</v>
      </c>
      <c r="U58" s="168">
        <f>U7+U11+U19+U22+U26+U37+U44+U53+U57</f>
        <v>2411.8139999999994</v>
      </c>
      <c r="V58" s="174">
        <f>SUM(T58-J58)/J58</f>
        <v>2.0505075122087986</v>
      </c>
      <c r="W58" s="97">
        <f>SUM(T58-C58)/C58</f>
        <v>0.3763818369670641</v>
      </c>
      <c r="X58" s="175">
        <f>X7+X11+X19+X22+X26+X37+X44+X53+X57</f>
        <v>16722.4</v>
      </c>
      <c r="Y58" s="129"/>
      <c r="Z58" s="175">
        <f>Z7+Z11+Z19+Z22+Z26+Z37+Z44+Z53+Z57</f>
        <v>26110.513999999996</v>
      </c>
      <c r="AA58" s="90"/>
      <c r="AB58" s="173"/>
      <c r="AC58" s="168">
        <f t="shared" si="14"/>
        <v>-10411</v>
      </c>
      <c r="AD58" s="168">
        <f t="shared" si="13"/>
        <v>-2248</v>
      </c>
      <c r="AE58" s="168">
        <f>SUM(Z58-C58)</f>
        <v>7140.113999999994</v>
      </c>
      <c r="AG58" s="176">
        <f>SUM(AG57+AG53+AG44+AG37+AG26+AG22+AG19+AG11+AG7)</f>
        <v>-3549.1</v>
      </c>
      <c r="AH58" s="173"/>
      <c r="AI58" s="173"/>
      <c r="AJ58" s="161"/>
      <c r="AK58" s="180"/>
      <c r="AL58" s="177"/>
      <c r="AM58" s="177"/>
      <c r="AN58" s="177"/>
      <c r="AO58" s="173"/>
      <c r="AP58" s="173"/>
    </row>
    <row r="59" spans="1:42" ht="12.75" customHeight="1">
      <c r="A59" s="234" t="s">
        <v>43</v>
      </c>
      <c r="B59" s="234"/>
      <c r="C59" s="234"/>
      <c r="D59" s="234"/>
      <c r="E59" s="234"/>
      <c r="F59" s="234"/>
      <c r="G59" s="234"/>
      <c r="H59" s="234"/>
      <c r="I59" s="234"/>
      <c r="J59" s="234"/>
      <c r="K59" s="234"/>
      <c r="L59" s="234"/>
      <c r="M59" s="234"/>
      <c r="N59" s="234"/>
      <c r="O59" s="234"/>
      <c r="P59" s="234"/>
      <c r="Q59" s="234"/>
      <c r="R59" s="234"/>
      <c r="S59" s="12"/>
      <c r="T59" s="12"/>
      <c r="U59" s="12"/>
      <c r="V59" s="12"/>
      <c r="W59" s="12"/>
      <c r="Z59" s="12"/>
      <c r="AB59" s="12"/>
      <c r="AC59" s="12"/>
      <c r="AD59" s="12"/>
      <c r="AE59" s="12"/>
      <c r="AF59" s="12"/>
      <c r="AG59" s="12"/>
      <c r="AH59" s="12"/>
      <c r="AI59" s="12"/>
      <c r="AJ59" s="161"/>
      <c r="AK59" s="163"/>
      <c r="AL59" s="163"/>
      <c r="AM59" s="163"/>
      <c r="AN59" s="163"/>
      <c r="AO59" s="12"/>
      <c r="AP59" s="12"/>
    </row>
    <row r="60" spans="1:42" ht="15" customHeight="1">
      <c r="A60" s="228" t="s">
        <v>90</v>
      </c>
      <c r="AN60" s="163"/>
      <c r="AO60" s="12"/>
      <c r="AP60" s="12"/>
    </row>
    <row r="61" spans="1:42" ht="15" customHeight="1">
      <c r="A61" s="235" t="s">
        <v>89</v>
      </c>
      <c r="B61" s="235"/>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163"/>
      <c r="AO61" s="12"/>
      <c r="AP61" s="12"/>
    </row>
    <row r="62" s="233" customFormat="1" ht="12.75">
      <c r="A62" s="233" t="s">
        <v>47</v>
      </c>
    </row>
    <row r="63" s="233" customFormat="1" ht="12.75">
      <c r="A63" s="236" t="s">
        <v>109</v>
      </c>
    </row>
    <row r="64" s="233" customFormat="1" ht="12.75">
      <c r="A64" s="236" t="s">
        <v>110</v>
      </c>
    </row>
    <row r="65" s="233" customFormat="1" ht="12.75">
      <c r="A65" s="233" t="s">
        <v>23</v>
      </c>
    </row>
    <row r="66" s="233" customFormat="1" ht="12.75">
      <c r="A66" s="236" t="s">
        <v>108</v>
      </c>
    </row>
    <row r="67" s="233" customFormat="1" ht="12.75">
      <c r="A67" s="233" t="s">
        <v>24</v>
      </c>
    </row>
    <row r="68" s="233" customFormat="1" ht="12.75">
      <c r="A68" s="233" t="s">
        <v>25</v>
      </c>
    </row>
    <row r="69" s="233" customFormat="1" ht="12.75">
      <c r="A69" s="233" t="s">
        <v>26</v>
      </c>
    </row>
    <row r="70" s="233" customFormat="1" ht="12.75">
      <c r="A70" s="233" t="s">
        <v>27</v>
      </c>
    </row>
    <row r="71" s="233" customFormat="1" ht="12.75">
      <c r="A71" s="233" t="s">
        <v>28</v>
      </c>
    </row>
    <row r="72" s="233" customFormat="1" ht="12.75">
      <c r="A72" s="233" t="s">
        <v>29</v>
      </c>
    </row>
    <row r="73" spans="1:29" ht="15.75" customHeight="1">
      <c r="A73" s="237" t="s">
        <v>111</v>
      </c>
      <c r="B73" s="154"/>
      <c r="T73" s="7"/>
      <c r="AC73" s="157"/>
    </row>
    <row r="74" ht="15.75" customHeight="1"/>
    <row r="75" ht="12.75">
      <c r="A75" s="156"/>
    </row>
    <row r="79" spans="1:2" ht="14.25">
      <c r="A79" s="161"/>
      <c r="B79" s="162"/>
    </row>
    <row r="80" spans="1:2" ht="14.25">
      <c r="A80" s="161"/>
      <c r="B80" s="163"/>
    </row>
    <row r="81" spans="1:27" ht="14.25">
      <c r="A81" s="161"/>
      <c r="B81" s="163"/>
      <c r="C81"/>
      <c r="I81"/>
      <c r="K81"/>
      <c r="L81"/>
      <c r="M81"/>
      <c r="O81"/>
      <c r="X81"/>
      <c r="Y81"/>
      <c r="AA81"/>
    </row>
    <row r="82" spans="1:27" ht="14.25">
      <c r="A82" s="161"/>
      <c r="B82" s="163"/>
      <c r="C82"/>
      <c r="I82"/>
      <c r="K82"/>
      <c r="L82"/>
      <c r="M82"/>
      <c r="O82"/>
      <c r="X82"/>
      <c r="Y82"/>
      <c r="AA82"/>
    </row>
    <row r="83" spans="1:27" ht="14.25">
      <c r="A83" s="161"/>
      <c r="B83" s="163"/>
      <c r="C83"/>
      <c r="I83"/>
      <c r="K83"/>
      <c r="L83"/>
      <c r="M83"/>
      <c r="O83"/>
      <c r="X83"/>
      <c r="Y83"/>
      <c r="AA83"/>
    </row>
    <row r="84" spans="1:27" ht="14.25">
      <c r="A84" s="161"/>
      <c r="B84" s="164"/>
      <c r="C84"/>
      <c r="I84"/>
      <c r="K84"/>
      <c r="L84"/>
      <c r="M84"/>
      <c r="O84"/>
      <c r="X84"/>
      <c r="Y84"/>
      <c r="AA84"/>
    </row>
    <row r="85" spans="1:27" ht="14.25">
      <c r="A85" s="161"/>
      <c r="B85" s="163"/>
      <c r="C85"/>
      <c r="I85"/>
      <c r="K85"/>
      <c r="L85"/>
      <c r="M85"/>
      <c r="O85"/>
      <c r="X85"/>
      <c r="Y85"/>
      <c r="AA85"/>
    </row>
    <row r="86" spans="1:27" ht="15">
      <c r="A86" s="165"/>
      <c r="B86" s="163"/>
      <c r="C86"/>
      <c r="I86"/>
      <c r="K86"/>
      <c r="L86"/>
      <c r="M86"/>
      <c r="O86"/>
      <c r="X86"/>
      <c r="Y86"/>
      <c r="AA86"/>
    </row>
  </sheetData>
  <sheetProtection/>
  <mergeCells count="13">
    <mergeCell ref="A71:IV71"/>
    <mergeCell ref="A72:IV72"/>
    <mergeCell ref="A67:IV67"/>
    <mergeCell ref="A68:IV68"/>
    <mergeCell ref="A69:IV69"/>
    <mergeCell ref="A64:IV64"/>
    <mergeCell ref="A70:IV70"/>
    <mergeCell ref="A63:IV63"/>
    <mergeCell ref="A59:R59"/>
    <mergeCell ref="A62:IV62"/>
    <mergeCell ref="A65:IV65"/>
    <mergeCell ref="A66:IV66"/>
    <mergeCell ref="A61:AM61"/>
  </mergeCells>
  <conditionalFormatting sqref="Y1:Y5 Y7:Y12 Y14:Y16 Y19:Y28 AA19:AA28 Y62:Y73 Y75:Y65536 Y30:Y59 AA1:AA5 AA7:AA12 AA14:AA16 AA62:AA73 AA75:AA65536 AA30:AA59">
    <cfRule type="containsText" priority="4" dxfId="0" operator="containsText" stopIfTrue="1" text="EPA">
      <formula>NOT(ISERROR(SEARCH("EPA",Y1)))</formula>
    </cfRule>
  </conditionalFormatting>
  <hyperlinks>
    <hyperlink ref="A63:B63" r:id="rId1" display="Senate Appropriations Committee budget proposal 3-04-11"/>
    <hyperlink ref="Y13" r:id="rId2" display="http://www.nytimes.com/cwire/2011/03/07/07climatewire-democrats-provide-a-counteroffer-to-gop-cuts-23869.html"/>
    <hyperlink ref="Y6" r:id="rId3" display="http://www.nytimes.com/cwire/2011/03/07/07climatewire-democrats-provide-a-counteroffer-to-gop-cuts-23869.html?pagewanted=2"/>
    <hyperlink ref="Y55" r:id="rId4" display="Chart of Labor-HHS-Education Funding in the Senate Full-Year CR"/>
    <hyperlink ref="Y56" r:id="rId5" display="The Senate Democratic CR maintains funding at the FY10 enacted level of $700 million."/>
    <hyperlink ref="Y29" r:id="rId6" display="No other transportation program cuts are mentioned, therefore it appears all other US DOT programs would be funded at their current FY'10 levels."/>
    <hyperlink ref="Z16" r:id="rId7" display="AAAS Funding table"/>
    <hyperlink ref="AA13" r:id="rId8" display="http://www.nytimes.com/cwire/2011/03/07/07climatewire-democrats-provide-a-counteroffer-to-gop-cuts-23869.html"/>
    <hyperlink ref="AA6" r:id="rId9" display="http://www.nytimes.com/cwire/2011/03/07/07climatewire-democrats-provide-a-counteroffer-to-gop-cuts-23869.html?pagewanted=2"/>
    <hyperlink ref="AA55" r:id="rId10" display="Chart of Labor-HHS-Education Funding in the Senate Full-Year CR"/>
    <hyperlink ref="AA56" r:id="rId11" display="The Senate Democratic CR maintains funding at the FY10 enacted level of $700 million."/>
    <hyperlink ref="AA29" r:id="rId12" display="No other transportation program cuts are mentioned, therefore it appears all other US DOT programs would be funded at their current FY'10 levels."/>
    <hyperlink ref="A73" r:id="rId13" display="House Republican Appropriations Committee Final Program Cuts 4-12-2011"/>
    <hyperlink ref="AA25" r:id="rId14" display="Chart of Labor-HHS-Education Funding in the Senate Full-Year CR"/>
    <hyperlink ref="Y25" r:id="rId15" display="Chart of Labor-HHS-Education Funding in the Senate Full-Year CR"/>
  </hyperlinks>
  <printOptions gridLines="1"/>
  <pageMargins left="0.75" right="0.75" top="1" bottom="1" header="0.5" footer="0.5"/>
  <pageSetup blackAndWhite="1" horizontalDpi="600" verticalDpi="600" orientation="landscape"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Center for American Progress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lsmith</dc:creator>
  <cp:keywords/>
  <dc:description/>
  <cp:lastModifiedBy>dhudson</cp:lastModifiedBy>
  <cp:lastPrinted>2011-02-14T18:16:47Z</cp:lastPrinted>
  <dcterms:created xsi:type="dcterms:W3CDTF">2011-02-09T15:49:01Z</dcterms:created>
  <dcterms:modified xsi:type="dcterms:W3CDTF">2011-04-13T15:56:00Z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